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12690" windowHeight="6960"/>
  </bookViews>
  <sheets>
    <sheet name="0531" sheetId="77" r:id="rId1"/>
    <sheet name="0531 4度C" sheetId="78" r:id="rId2"/>
    <sheet name="0530" sheetId="69" r:id="rId3"/>
    <sheet name="0530 4度C" sheetId="70" r:id="rId4"/>
    <sheet name="0529" sheetId="71" r:id="rId5"/>
    <sheet name="0529 4度C" sheetId="72" r:id="rId6"/>
    <sheet name="0528" sheetId="65" r:id="rId7"/>
    <sheet name="0528 4度C" sheetId="66" r:id="rId8"/>
    <sheet name="0527" sheetId="63" r:id="rId9"/>
    <sheet name="0527 4度C" sheetId="64" r:id="rId10"/>
    <sheet name="0526" sheetId="61" r:id="rId11"/>
    <sheet name="0526 4度C" sheetId="62" r:id="rId12"/>
    <sheet name="0525" sheetId="59" r:id="rId13"/>
    <sheet name="0525 4度C" sheetId="60" r:id="rId14"/>
    <sheet name="0524" sheetId="57" r:id="rId15"/>
    <sheet name="0524 4度C" sheetId="58" r:id="rId16"/>
    <sheet name="0523" sheetId="55" r:id="rId17"/>
    <sheet name="0523 4度C" sheetId="56" r:id="rId18"/>
    <sheet name="0522" sheetId="53" r:id="rId19"/>
    <sheet name="0522 4度C" sheetId="54" r:id="rId20"/>
    <sheet name="0521" sheetId="51" r:id="rId21"/>
    <sheet name="0521 4度C" sheetId="52" r:id="rId22"/>
    <sheet name="0520" sheetId="49" r:id="rId23"/>
    <sheet name="0520 4度C" sheetId="50" r:id="rId24"/>
    <sheet name="0519" sheetId="47" r:id="rId25"/>
    <sheet name="0519 4度C" sheetId="48" r:id="rId26"/>
    <sheet name="0518" sheetId="45" r:id="rId27"/>
    <sheet name="0518 4度C" sheetId="46" r:id="rId28"/>
    <sheet name="0517" sheetId="41" r:id="rId29"/>
    <sheet name="0517 4度C" sheetId="42" r:id="rId30"/>
    <sheet name="0516" sheetId="39" r:id="rId31"/>
    <sheet name="0516 4度C" sheetId="40" r:id="rId32"/>
    <sheet name="0515" sheetId="37" r:id="rId33"/>
    <sheet name="0515 4度C" sheetId="38" r:id="rId34"/>
    <sheet name="0514" sheetId="35" r:id="rId35"/>
    <sheet name="0514 4度C" sheetId="36" r:id="rId36"/>
    <sheet name="0513" sheetId="33" r:id="rId37"/>
    <sheet name="0513 4度C" sheetId="34" r:id="rId38"/>
    <sheet name="0512" sheetId="31" r:id="rId39"/>
    <sheet name="0512 4度C" sheetId="32" r:id="rId40"/>
    <sheet name="0511" sheetId="21" r:id="rId41"/>
    <sheet name="0511 4度C" sheetId="22" r:id="rId42"/>
    <sheet name="0510" sheetId="23" r:id="rId43"/>
    <sheet name="0510 4度C" sheetId="24" r:id="rId44"/>
    <sheet name="0509" sheetId="17" r:id="rId45"/>
    <sheet name="0509 4度C" sheetId="18" r:id="rId46"/>
    <sheet name="0508" sheetId="15" r:id="rId47"/>
    <sheet name="0508 4度C" sheetId="16" r:id="rId48"/>
    <sheet name="0507" sheetId="13" r:id="rId49"/>
    <sheet name="0507 4度C" sheetId="14" r:id="rId50"/>
    <sheet name="0506" sheetId="11" r:id="rId51"/>
    <sheet name="0506 4度C" sheetId="12" r:id="rId52"/>
    <sheet name="0505" sheetId="25" r:id="rId53"/>
    <sheet name="0505 4度C" sheetId="26" r:id="rId54"/>
    <sheet name="0504" sheetId="7" r:id="rId55"/>
    <sheet name="0504 4度C" sheetId="8" r:id="rId56"/>
    <sheet name="0503" sheetId="5" r:id="rId57"/>
    <sheet name="0503 4度C" sheetId="6" r:id="rId58"/>
    <sheet name="0502" sheetId="3" r:id="rId59"/>
    <sheet name="0502 4度C" sheetId="4" r:id="rId60"/>
    <sheet name="0501" sheetId="2" r:id="rId61"/>
    <sheet name="0501 4度C" sheetId="1" r:id="rId62"/>
  </sheets>
  <definedNames>
    <definedName name="_xlnm._FilterDatabase" localSheetId="61" hidden="1">'0501 4度C'!$A$4:$AI$4</definedName>
    <definedName name="_xlnm._FilterDatabase" localSheetId="59" hidden="1">'0502 4度C'!$A$4:$AI$4</definedName>
    <definedName name="_xlnm._FilterDatabase" localSheetId="57" hidden="1">'0503 4度C'!$A$4:$AI$4</definedName>
    <definedName name="_xlnm._FilterDatabase" localSheetId="55" hidden="1">'0504 4度C'!$A$4:$AI$4</definedName>
    <definedName name="_xlnm._FilterDatabase" localSheetId="53" hidden="1">'0505 4度C'!$A$4:$AI$4</definedName>
    <definedName name="_xlnm._FilterDatabase" localSheetId="51" hidden="1">'0506 4度C'!$A$4:$AI$4</definedName>
    <definedName name="_xlnm._FilterDatabase" localSheetId="49" hidden="1">'0507 4度C'!$A$4:$AI$4</definedName>
    <definedName name="_xlnm._FilterDatabase" localSheetId="47" hidden="1">'0508 4度C'!$A$4:$AI$4</definedName>
    <definedName name="_xlnm._FilterDatabase" localSheetId="45" hidden="1">'0509 4度C'!$A$4:$AI$4</definedName>
    <definedName name="_xlnm._FilterDatabase" localSheetId="43" hidden="1">'0510 4度C'!$A$4:$AI$4</definedName>
    <definedName name="_xlnm._FilterDatabase" localSheetId="41" hidden="1">'0511 4度C'!$A$4:$AI$4</definedName>
    <definedName name="_xlnm._FilterDatabase" localSheetId="39" hidden="1">'0512 4度C'!$A$4:$AI$4</definedName>
    <definedName name="_xlnm._FilterDatabase" localSheetId="37" hidden="1">'0513 4度C'!$A$4:$AI$4</definedName>
    <definedName name="_xlnm._FilterDatabase" localSheetId="35" hidden="1">'0514 4度C'!$A$4:$AI$4</definedName>
    <definedName name="_xlnm._FilterDatabase" localSheetId="33" hidden="1">'0515 4度C'!$A$4:$AI$4</definedName>
    <definedName name="_xlnm._FilterDatabase" localSheetId="31" hidden="1">'0516 4度C'!$A$4:$AI$4</definedName>
    <definedName name="_xlnm._FilterDatabase" localSheetId="29" hidden="1">'0517 4度C'!$A$4:$AI$4</definedName>
    <definedName name="_xlnm._FilterDatabase" localSheetId="27" hidden="1">'0518 4度C'!$A$4:$AI$4</definedName>
    <definedName name="_xlnm._FilterDatabase" localSheetId="25" hidden="1">'0519 4度C'!$A$4:$AI$4</definedName>
    <definedName name="_xlnm._FilterDatabase" localSheetId="23" hidden="1">'0520 4度C'!$A$4:$AI$4</definedName>
    <definedName name="_xlnm._FilterDatabase" localSheetId="21" hidden="1">'0521 4度C'!$A$4:$AI$4</definedName>
    <definedName name="_xlnm._FilterDatabase" localSheetId="19" hidden="1">'0522 4度C'!$A$4:$AI$4</definedName>
    <definedName name="_xlnm._FilterDatabase" localSheetId="17" hidden="1">'0523 4度C'!$A$4:$AI$4</definedName>
    <definedName name="_xlnm._FilterDatabase" localSheetId="15" hidden="1">'0524 4度C'!$A$4:$AI$4</definedName>
    <definedName name="_xlnm._FilterDatabase" localSheetId="13" hidden="1">'0525 4度C'!$A$4:$AI$4</definedName>
    <definedName name="_xlnm._FilterDatabase" localSheetId="11" hidden="1">'0526 4度C'!$A$4:$AI$4</definedName>
    <definedName name="_xlnm._FilterDatabase" localSheetId="9" hidden="1">'0527 4度C'!$A$4:$AI$4</definedName>
    <definedName name="_xlnm._FilterDatabase" localSheetId="7" hidden="1">'0528 4度C'!$A$4:$AI$4</definedName>
    <definedName name="_xlnm._FilterDatabase" localSheetId="5" hidden="1">'0529 4度C'!$A$4:$AI$4</definedName>
    <definedName name="_xlnm._FilterDatabase" localSheetId="3" hidden="1">'0530 4度C'!$A$4:$AI$4</definedName>
    <definedName name="_xlnm._FilterDatabase" localSheetId="1" hidden="1">'0531 4度C'!$A$4:$AI$4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76" i="78" l="1"/>
  <c r="Z76" i="78"/>
  <c r="Y76" i="78"/>
  <c r="O76" i="78"/>
  <c r="K76" i="78"/>
  <c r="V75" i="78"/>
  <c r="U75" i="78"/>
  <c r="O75" i="78"/>
  <c r="M75" i="78"/>
  <c r="AE75" i="78" s="1"/>
  <c r="K75" i="78"/>
  <c r="G75" i="78"/>
  <c r="V74" i="78"/>
  <c r="M74" i="78" s="1"/>
  <c r="U74" i="78"/>
  <c r="O74" i="78"/>
  <c r="K74" i="78"/>
  <c r="G74" i="78"/>
  <c r="V73" i="78"/>
  <c r="M73" i="78" s="1"/>
  <c r="U73" i="78"/>
  <c r="O73" i="78"/>
  <c r="K73" i="78"/>
  <c r="G73" i="78"/>
  <c r="X72" i="78"/>
  <c r="W72" i="78"/>
  <c r="V72" i="78"/>
  <c r="M72" i="78" s="1"/>
  <c r="U72" i="78"/>
  <c r="O72" i="78"/>
  <c r="K72" i="78"/>
  <c r="G72" i="78"/>
  <c r="V71" i="78"/>
  <c r="M71" i="78" s="1"/>
  <c r="U71" i="78"/>
  <c r="O71" i="78"/>
  <c r="K71" i="78"/>
  <c r="G71" i="78"/>
  <c r="V70" i="78"/>
  <c r="M70" i="78" s="1"/>
  <c r="U70" i="78"/>
  <c r="O70" i="78"/>
  <c r="K70" i="78"/>
  <c r="G70" i="78"/>
  <c r="V69" i="78"/>
  <c r="M69" i="78" s="1"/>
  <c r="U69" i="78"/>
  <c r="O69" i="78"/>
  <c r="K69" i="78"/>
  <c r="G69" i="78"/>
  <c r="X68" i="78"/>
  <c r="W68" i="78"/>
  <c r="V68" i="78"/>
  <c r="M68" i="78" s="1"/>
  <c r="O68" i="78"/>
  <c r="K68" i="78"/>
  <c r="G68" i="78"/>
  <c r="AD67" i="78"/>
  <c r="J21" i="77" s="1"/>
  <c r="Z67" i="78"/>
  <c r="Y67" i="78"/>
  <c r="O67" i="78"/>
  <c r="K67" i="78"/>
  <c r="V66" i="78"/>
  <c r="M66" i="78" s="1"/>
  <c r="U66" i="78"/>
  <c r="O66" i="78"/>
  <c r="K66" i="78"/>
  <c r="G66" i="78"/>
  <c r="V65" i="78"/>
  <c r="M65" i="78" s="1"/>
  <c r="U65" i="78"/>
  <c r="O65" i="78"/>
  <c r="K65" i="78"/>
  <c r="G65" i="78"/>
  <c r="V64" i="78"/>
  <c r="M64" i="78" s="1"/>
  <c r="U64" i="78"/>
  <c r="O64" i="78"/>
  <c r="K64" i="78"/>
  <c r="G64" i="78"/>
  <c r="V63" i="78"/>
  <c r="U63" i="78"/>
  <c r="O63" i="78"/>
  <c r="M63" i="78"/>
  <c r="AF63" i="78" s="1"/>
  <c r="K63" i="78"/>
  <c r="G63" i="78"/>
  <c r="V62" i="78"/>
  <c r="O62" i="78"/>
  <c r="M62" i="78"/>
  <c r="AF62" i="78" s="1"/>
  <c r="K62" i="78"/>
  <c r="G62" i="78"/>
  <c r="AD61" i="78"/>
  <c r="Z61" i="78"/>
  <c r="Y61" i="78"/>
  <c r="O61" i="78"/>
  <c r="K61" i="78"/>
  <c r="V60" i="78"/>
  <c r="U60" i="78"/>
  <c r="O60" i="78"/>
  <c r="M60" i="78"/>
  <c r="AF60" i="78" s="1"/>
  <c r="K60" i="78"/>
  <c r="G60" i="78"/>
  <c r="V59" i="78"/>
  <c r="U59" i="78"/>
  <c r="O59" i="78"/>
  <c r="M59" i="78"/>
  <c r="AF59" i="78" s="1"/>
  <c r="K59" i="78"/>
  <c r="G59" i="78"/>
  <c r="AF58" i="78"/>
  <c r="AE58" i="78"/>
  <c r="V58" i="78"/>
  <c r="U58" i="78"/>
  <c r="O58" i="78"/>
  <c r="N58" i="78"/>
  <c r="P58" i="78" s="1"/>
  <c r="M58" i="78"/>
  <c r="K58" i="78"/>
  <c r="Q58" i="78" s="1"/>
  <c r="G58" i="78"/>
  <c r="AE57" i="78"/>
  <c r="V57" i="78"/>
  <c r="U57" i="78"/>
  <c r="O57" i="78"/>
  <c r="M57" i="78"/>
  <c r="N57" i="78" s="1"/>
  <c r="K57" i="78"/>
  <c r="G57" i="78"/>
  <c r="V56" i="78"/>
  <c r="M56" i="78" s="1"/>
  <c r="U56" i="78"/>
  <c r="O56" i="78"/>
  <c r="K56" i="78"/>
  <c r="G56" i="78"/>
  <c r="V55" i="78"/>
  <c r="M55" i="78" s="1"/>
  <c r="U55" i="78"/>
  <c r="O55" i="78"/>
  <c r="K55" i="78"/>
  <c r="G55" i="78"/>
  <c r="V54" i="78"/>
  <c r="M54" i="78" s="1"/>
  <c r="O54" i="78"/>
  <c r="K54" i="78"/>
  <c r="G54" i="78"/>
  <c r="AD53" i="78"/>
  <c r="H21" i="77" s="1"/>
  <c r="Z53" i="78"/>
  <c r="Y53" i="78"/>
  <c r="O53" i="78"/>
  <c r="K53" i="78"/>
  <c r="V52" i="78"/>
  <c r="M52" i="78" s="1"/>
  <c r="U52" i="78"/>
  <c r="O52" i="78"/>
  <c r="K52" i="78"/>
  <c r="G52" i="78"/>
  <c r="V51" i="78"/>
  <c r="M51" i="78" s="1"/>
  <c r="U51" i="78"/>
  <c r="O51" i="78"/>
  <c r="K51" i="78"/>
  <c r="G51" i="78"/>
  <c r="V50" i="78"/>
  <c r="M50" i="78" s="1"/>
  <c r="U50" i="78"/>
  <c r="O50" i="78"/>
  <c r="K50" i="78"/>
  <c r="G50" i="78"/>
  <c r="X49" i="78"/>
  <c r="W49" i="78"/>
  <c r="V49" i="78"/>
  <c r="M49" i="78" s="1"/>
  <c r="O49" i="78"/>
  <c r="K49" i="78"/>
  <c r="G49" i="78"/>
  <c r="AD48" i="78"/>
  <c r="Z48" i="78"/>
  <c r="L19" i="77" s="1"/>
  <c r="Y48" i="78"/>
  <c r="O48" i="78"/>
  <c r="K48" i="78"/>
  <c r="V47" i="78"/>
  <c r="M47" i="78" s="1"/>
  <c r="U47" i="78"/>
  <c r="O47" i="78"/>
  <c r="K47" i="78"/>
  <c r="G47" i="78"/>
  <c r="AF46" i="78"/>
  <c r="V46" i="78"/>
  <c r="U46" i="78"/>
  <c r="O46" i="78"/>
  <c r="M46" i="78"/>
  <c r="AE46" i="78" s="1"/>
  <c r="K46" i="78"/>
  <c r="G46" i="78"/>
  <c r="AE45" i="78"/>
  <c r="V45" i="78"/>
  <c r="U45" i="78"/>
  <c r="O45" i="78"/>
  <c r="N45" i="78"/>
  <c r="Q45" i="78" s="1"/>
  <c r="M45" i="78"/>
  <c r="AF45" i="78" s="1"/>
  <c r="K45" i="78"/>
  <c r="G45" i="78"/>
  <c r="X44" i="78"/>
  <c r="W44" i="78"/>
  <c r="V44" i="78"/>
  <c r="U44" i="78"/>
  <c r="O44" i="78"/>
  <c r="M44" i="78"/>
  <c r="AF44" i="78" s="1"/>
  <c r="K44" i="78"/>
  <c r="G44" i="78"/>
  <c r="AE43" i="78"/>
  <c r="V43" i="78"/>
  <c r="U43" i="78"/>
  <c r="O43" i="78"/>
  <c r="N43" i="78"/>
  <c r="Q43" i="78" s="1"/>
  <c r="M43" i="78"/>
  <c r="AF43" i="78" s="1"/>
  <c r="K43" i="78"/>
  <c r="G43" i="78"/>
  <c r="V42" i="78"/>
  <c r="U42" i="78"/>
  <c r="O42" i="78"/>
  <c r="M42" i="78"/>
  <c r="AF42" i="78" s="1"/>
  <c r="K42" i="78"/>
  <c r="G42" i="78"/>
  <c r="V41" i="78"/>
  <c r="U41" i="78"/>
  <c r="O41" i="78"/>
  <c r="M41" i="78"/>
  <c r="AF41" i="78" s="1"/>
  <c r="K41" i="78"/>
  <c r="G41" i="78"/>
  <c r="AF40" i="78"/>
  <c r="X40" i="78"/>
  <c r="W40" i="78"/>
  <c r="V40" i="78"/>
  <c r="O40" i="78"/>
  <c r="N40" i="78"/>
  <c r="Q40" i="78" s="1"/>
  <c r="M40" i="78"/>
  <c r="AE40" i="78" s="1"/>
  <c r="K40" i="78"/>
  <c r="G40" i="78"/>
  <c r="AD39" i="78"/>
  <c r="K21" i="77" s="1"/>
  <c r="Z39" i="78"/>
  <c r="Y39" i="78"/>
  <c r="O39" i="78"/>
  <c r="K39" i="78"/>
  <c r="V38" i="78"/>
  <c r="U38" i="78"/>
  <c r="O38" i="78"/>
  <c r="M38" i="78"/>
  <c r="AF38" i="78" s="1"/>
  <c r="K38" i="78"/>
  <c r="G38" i="78"/>
  <c r="AF37" i="78"/>
  <c r="AE37" i="78"/>
  <c r="V37" i="78"/>
  <c r="U37" i="78"/>
  <c r="O37" i="78"/>
  <c r="N37" i="78"/>
  <c r="P37" i="78" s="1"/>
  <c r="M37" i="78"/>
  <c r="K37" i="78"/>
  <c r="Q37" i="78" s="1"/>
  <c r="G37" i="78"/>
  <c r="AE36" i="78"/>
  <c r="V36" i="78"/>
  <c r="U36" i="78"/>
  <c r="O36" i="78"/>
  <c r="M36" i="78"/>
  <c r="N36" i="78" s="1"/>
  <c r="K36" i="78"/>
  <c r="G36" i="78"/>
  <c r="AF35" i="78"/>
  <c r="AE35" i="78"/>
  <c r="X35" i="78"/>
  <c r="W35" i="78"/>
  <c r="V35" i="78"/>
  <c r="U35" i="78"/>
  <c r="O35" i="78"/>
  <c r="N35" i="78"/>
  <c r="P35" i="78" s="1"/>
  <c r="M35" i="78"/>
  <c r="K35" i="78"/>
  <c r="Q35" i="78" s="1"/>
  <c r="G35" i="78"/>
  <c r="AE34" i="78"/>
  <c r="V34" i="78"/>
  <c r="U34" i="78"/>
  <c r="O34" i="78"/>
  <c r="M34" i="78"/>
  <c r="N34" i="78" s="1"/>
  <c r="K34" i="78"/>
  <c r="G34" i="78"/>
  <c r="V33" i="78"/>
  <c r="M33" i="78" s="1"/>
  <c r="U33" i="78"/>
  <c r="O33" i="78"/>
  <c r="K33" i="78"/>
  <c r="G33" i="78"/>
  <c r="AF32" i="78"/>
  <c r="AE32" i="78"/>
  <c r="X32" i="78"/>
  <c r="W32" i="78"/>
  <c r="V32" i="78"/>
  <c r="O32" i="78"/>
  <c r="N32" i="78"/>
  <c r="P32" i="78" s="1"/>
  <c r="M32" i="78"/>
  <c r="K32" i="78"/>
  <c r="Q32" i="78" s="1"/>
  <c r="G32" i="78"/>
  <c r="AD31" i="78"/>
  <c r="Z31" i="78"/>
  <c r="Y31" i="78"/>
  <c r="O31" i="78"/>
  <c r="K31" i="78"/>
  <c r="G13" i="77" s="1"/>
  <c r="F6" i="77" s="1"/>
  <c r="V30" i="78"/>
  <c r="M30" i="78" s="1"/>
  <c r="U30" i="78"/>
  <c r="O30" i="78"/>
  <c r="K30" i="78"/>
  <c r="G30" i="78"/>
  <c r="V29" i="78"/>
  <c r="M29" i="78" s="1"/>
  <c r="U29" i="78"/>
  <c r="O29" i="78"/>
  <c r="K29" i="78"/>
  <c r="G29" i="78"/>
  <c r="V28" i="78"/>
  <c r="M28" i="78" s="1"/>
  <c r="U28" i="78"/>
  <c r="O28" i="78"/>
  <c r="K28" i="78"/>
  <c r="G28" i="78"/>
  <c r="V27" i="78"/>
  <c r="M27" i="78" s="1"/>
  <c r="U27" i="78"/>
  <c r="O27" i="78"/>
  <c r="K27" i="78"/>
  <c r="G27" i="78"/>
  <c r="V26" i="78"/>
  <c r="M26" i="78" s="1"/>
  <c r="U26" i="78"/>
  <c r="O26" i="78"/>
  <c r="K26" i="78"/>
  <c r="G26" i="78"/>
  <c r="V25" i="78"/>
  <c r="M25" i="78" s="1"/>
  <c r="O25" i="78"/>
  <c r="K25" i="78"/>
  <c r="G25" i="78"/>
  <c r="AD24" i="78"/>
  <c r="Z24" i="78"/>
  <c r="Y24" i="78"/>
  <c r="O24" i="78"/>
  <c r="K24" i="78"/>
  <c r="AF23" i="78"/>
  <c r="V23" i="78"/>
  <c r="U23" i="78"/>
  <c r="O23" i="78"/>
  <c r="M23" i="78"/>
  <c r="AE23" i="78" s="1"/>
  <c r="K23" i="78"/>
  <c r="G23" i="78"/>
  <c r="AE22" i="78"/>
  <c r="V22" i="78"/>
  <c r="U22" i="78"/>
  <c r="O22" i="78"/>
  <c r="N22" i="78"/>
  <c r="Q22" i="78" s="1"/>
  <c r="M22" i="78"/>
  <c r="AF22" i="78" s="1"/>
  <c r="K22" i="78"/>
  <c r="G22" i="78"/>
  <c r="V21" i="78"/>
  <c r="U21" i="78"/>
  <c r="O21" i="78"/>
  <c r="M21" i="78"/>
  <c r="AF21" i="78" s="1"/>
  <c r="K21" i="78"/>
  <c r="G21" i="78"/>
  <c r="V20" i="78"/>
  <c r="U20" i="78"/>
  <c r="O20" i="78"/>
  <c r="M20" i="78"/>
  <c r="AF20" i="78" s="1"/>
  <c r="K20" i="78"/>
  <c r="G20" i="78"/>
  <c r="X19" i="78"/>
  <c r="W19" i="78"/>
  <c r="V19" i="78"/>
  <c r="U19" i="78"/>
  <c r="O19" i="78"/>
  <c r="M19" i="78"/>
  <c r="AF19" i="78" s="1"/>
  <c r="K19" i="78"/>
  <c r="G19" i="78"/>
  <c r="V18" i="78"/>
  <c r="U18" i="78"/>
  <c r="O18" i="78"/>
  <c r="M18" i="78"/>
  <c r="AF18" i="78" s="1"/>
  <c r="K18" i="78"/>
  <c r="G18" i="78"/>
  <c r="AF17" i="78"/>
  <c r="AE17" i="78"/>
  <c r="V17" i="78"/>
  <c r="U17" i="78"/>
  <c r="O17" i="78"/>
  <c r="N17" i="78"/>
  <c r="P17" i="78" s="1"/>
  <c r="M17" i="78"/>
  <c r="K17" i="78"/>
  <c r="Q17" i="78" s="1"/>
  <c r="G17" i="78"/>
  <c r="AF16" i="78"/>
  <c r="AE16" i="78"/>
  <c r="V16" i="78"/>
  <c r="O16" i="78"/>
  <c r="N16" i="78"/>
  <c r="P16" i="78" s="1"/>
  <c r="M16" i="78"/>
  <c r="M24" i="78" s="1"/>
  <c r="K16" i="78"/>
  <c r="Q16" i="78" s="1"/>
  <c r="G16" i="78"/>
  <c r="AD15" i="78"/>
  <c r="Z15" i="78"/>
  <c r="Y15" i="78"/>
  <c r="O15" i="78"/>
  <c r="K15" i="78"/>
  <c r="E13" i="77" s="1"/>
  <c r="E6" i="77" s="1"/>
  <c r="V14" i="78"/>
  <c r="M14" i="78" s="1"/>
  <c r="U14" i="78"/>
  <c r="O14" i="78"/>
  <c r="K14" i="78"/>
  <c r="G14" i="78"/>
  <c r="V13" i="78"/>
  <c r="M13" i="78" s="1"/>
  <c r="U13" i="78"/>
  <c r="O13" i="78"/>
  <c r="K13" i="78"/>
  <c r="G13" i="78"/>
  <c r="X12" i="78"/>
  <c r="W12" i="78"/>
  <c r="V12" i="78"/>
  <c r="M12" i="78" s="1"/>
  <c r="U12" i="78"/>
  <c r="O12" i="78"/>
  <c r="K12" i="78"/>
  <c r="G12" i="78"/>
  <c r="V11" i="78"/>
  <c r="M11" i="78" s="1"/>
  <c r="U11" i="78"/>
  <c r="O11" i="78"/>
  <c r="K11" i="78"/>
  <c r="G11" i="78"/>
  <c r="AF10" i="78"/>
  <c r="AE10" i="78"/>
  <c r="X10" i="78"/>
  <c r="W10" i="78"/>
  <c r="V10" i="78"/>
  <c r="O10" i="78"/>
  <c r="M10" i="78"/>
  <c r="N10" i="78" s="1"/>
  <c r="K10" i="78"/>
  <c r="G10" i="78"/>
  <c r="AD9" i="78"/>
  <c r="AD2" i="78" s="1"/>
  <c r="N6" i="77" s="1"/>
  <c r="Z9" i="78"/>
  <c r="Y9" i="78"/>
  <c r="O9" i="78"/>
  <c r="K9" i="78"/>
  <c r="V8" i="78"/>
  <c r="M8" i="78" s="1"/>
  <c r="U8" i="78"/>
  <c r="O8" i="78"/>
  <c r="K8" i="78"/>
  <c r="G8" i="78"/>
  <c r="X7" i="78"/>
  <c r="W7" i="78"/>
  <c r="V7" i="78"/>
  <c r="M7" i="78" s="1"/>
  <c r="U7" i="78"/>
  <c r="O7" i="78"/>
  <c r="K7" i="78"/>
  <c r="G7" i="78"/>
  <c r="V6" i="78"/>
  <c r="M6" i="78" s="1"/>
  <c r="U6" i="78"/>
  <c r="O6" i="78"/>
  <c r="K6" i="78"/>
  <c r="G6" i="78"/>
  <c r="V5" i="78"/>
  <c r="M5" i="78" s="1"/>
  <c r="O5" i="78"/>
  <c r="K5" i="78"/>
  <c r="G5" i="78"/>
  <c r="F1" i="78" s="1"/>
  <c r="F2" i="78" s="1"/>
  <c r="Z2" i="78"/>
  <c r="L6" i="77" s="1"/>
  <c r="Y2" i="78"/>
  <c r="K6" i="77" s="1"/>
  <c r="H2" i="78"/>
  <c r="H1" i="78"/>
  <c r="D1" i="78"/>
  <c r="M22" i="77"/>
  <c r="L22" i="77"/>
  <c r="K22" i="77"/>
  <c r="J22" i="77"/>
  <c r="I22" i="77"/>
  <c r="H22" i="77"/>
  <c r="G22" i="77"/>
  <c r="F22" i="77"/>
  <c r="E22" i="77"/>
  <c r="D22" i="77"/>
  <c r="M21" i="77"/>
  <c r="L21" i="77"/>
  <c r="I21" i="77"/>
  <c r="G21" i="77"/>
  <c r="F21" i="77"/>
  <c r="E21" i="77"/>
  <c r="D21" i="77"/>
  <c r="M20" i="77"/>
  <c r="L20" i="77"/>
  <c r="K20" i="77"/>
  <c r="J20" i="77"/>
  <c r="I20" i="77"/>
  <c r="H20" i="77"/>
  <c r="G20" i="77"/>
  <c r="F20" i="77"/>
  <c r="E20" i="77"/>
  <c r="D20" i="77"/>
  <c r="M19" i="77"/>
  <c r="K19" i="77"/>
  <c r="J19" i="77"/>
  <c r="I19" i="77"/>
  <c r="H19" i="77"/>
  <c r="G19" i="77"/>
  <c r="F19" i="77"/>
  <c r="E19" i="77"/>
  <c r="D19" i="77"/>
  <c r="M18" i="77"/>
  <c r="L18" i="77"/>
  <c r="K18" i="77"/>
  <c r="J18" i="77"/>
  <c r="I18" i="77"/>
  <c r="H18" i="77"/>
  <c r="G18" i="77"/>
  <c r="F18" i="77"/>
  <c r="E18" i="77"/>
  <c r="D18" i="77"/>
  <c r="M17" i="77"/>
  <c r="L17" i="77"/>
  <c r="K17" i="77"/>
  <c r="J17" i="77"/>
  <c r="I17" i="77"/>
  <c r="H17" i="77"/>
  <c r="G17" i="77"/>
  <c r="F17" i="77"/>
  <c r="E17" i="77"/>
  <c r="D17" i="77"/>
  <c r="M16" i="77"/>
  <c r="L16" i="77"/>
  <c r="K16" i="77"/>
  <c r="J16" i="77"/>
  <c r="I16" i="77"/>
  <c r="H16" i="77"/>
  <c r="G16" i="77"/>
  <c r="F16" i="77"/>
  <c r="E16" i="77"/>
  <c r="D16" i="77"/>
  <c r="M13" i="77"/>
  <c r="L13" i="77"/>
  <c r="K13" i="77"/>
  <c r="J13" i="77"/>
  <c r="I13" i="77"/>
  <c r="G6" i="77" s="1"/>
  <c r="H13" i="77"/>
  <c r="F13" i="77"/>
  <c r="D13" i="77"/>
  <c r="M6" i="77"/>
  <c r="F3" i="77"/>
  <c r="C3" i="77"/>
  <c r="N55" i="78" l="1"/>
  <c r="AF55" i="78"/>
  <c r="AE55" i="78"/>
  <c r="Q10" i="78"/>
  <c r="P10" i="78"/>
  <c r="N24" i="78"/>
  <c r="AF24" i="78"/>
  <c r="AG16" i="78" s="1"/>
  <c r="AE24" i="78"/>
  <c r="N29" i="78"/>
  <c r="AF29" i="78"/>
  <c r="AE29" i="78"/>
  <c r="N68" i="78"/>
  <c r="AF68" i="78"/>
  <c r="M76" i="78"/>
  <c r="AE68" i="78"/>
  <c r="N70" i="78"/>
  <c r="AE70" i="78"/>
  <c r="AF70" i="78"/>
  <c r="N5" i="78"/>
  <c r="AF5" i="78"/>
  <c r="M9" i="78"/>
  <c r="AE5" i="78"/>
  <c r="N11" i="78"/>
  <c r="AF11" i="78"/>
  <c r="AE11" i="78"/>
  <c r="N13" i="78"/>
  <c r="AF13" i="78"/>
  <c r="AE13" i="78"/>
  <c r="N50" i="78"/>
  <c r="AF50" i="78"/>
  <c r="AE50" i="78"/>
  <c r="N33" i="78"/>
  <c r="AF33" i="78"/>
  <c r="M39" i="78"/>
  <c r="AE33" i="78"/>
  <c r="N65" i="78"/>
  <c r="AF65" i="78"/>
  <c r="AE65" i="78"/>
  <c r="N74" i="78"/>
  <c r="AF74" i="78"/>
  <c r="AE74" i="78"/>
  <c r="N66" i="78"/>
  <c r="AF66" i="78"/>
  <c r="AE66" i="78"/>
  <c r="N27" i="78"/>
  <c r="AF27" i="78"/>
  <c r="AE27" i="78"/>
  <c r="I3" i="77"/>
  <c r="N6" i="78"/>
  <c r="AF6" i="78"/>
  <c r="AE6" i="78"/>
  <c r="N8" i="78"/>
  <c r="AF8" i="78"/>
  <c r="AE8" i="78"/>
  <c r="N12" i="78"/>
  <c r="AE12" i="78"/>
  <c r="AF12" i="78"/>
  <c r="N14" i="78"/>
  <c r="AF14" i="78"/>
  <c r="AE14" i="78"/>
  <c r="N25" i="78"/>
  <c r="AF25" i="78"/>
  <c r="AE25" i="78"/>
  <c r="M31" i="78"/>
  <c r="Q34" i="78"/>
  <c r="P34" i="78"/>
  <c r="N49" i="78"/>
  <c r="M53" i="78"/>
  <c r="AF49" i="78"/>
  <c r="AE49" i="78"/>
  <c r="N51" i="78"/>
  <c r="AF51" i="78"/>
  <c r="AE51" i="78"/>
  <c r="N56" i="78"/>
  <c r="AF56" i="78"/>
  <c r="AE56" i="78"/>
  <c r="Q36" i="78"/>
  <c r="P36" i="78"/>
  <c r="N72" i="78"/>
  <c r="AE72" i="78"/>
  <c r="AF72" i="78"/>
  <c r="N30" i="78"/>
  <c r="AF30" i="78"/>
  <c r="AE30" i="78"/>
  <c r="N64" i="78"/>
  <c r="AF64" i="78"/>
  <c r="AE64" i="78"/>
  <c r="N71" i="78"/>
  <c r="AF71" i="78"/>
  <c r="AE71" i="78"/>
  <c r="N73" i="78"/>
  <c r="AF73" i="78"/>
  <c r="AE73" i="78"/>
  <c r="M61" i="78"/>
  <c r="N54" i="78"/>
  <c r="AF54" i="78"/>
  <c r="AE54" i="78"/>
  <c r="N28" i="78"/>
  <c r="AE28" i="78"/>
  <c r="AF28" i="78"/>
  <c r="N47" i="78"/>
  <c r="AF47" i="78"/>
  <c r="AE47" i="78"/>
  <c r="Q57" i="78"/>
  <c r="P57" i="78"/>
  <c r="N69" i="78"/>
  <c r="AF69" i="78"/>
  <c r="AE69" i="78"/>
  <c r="I6" i="77"/>
  <c r="N7" i="78"/>
  <c r="AE7" i="78"/>
  <c r="AF7" i="78"/>
  <c r="N26" i="78"/>
  <c r="AF26" i="78"/>
  <c r="AE26" i="78"/>
  <c r="N52" i="78"/>
  <c r="AF52" i="78"/>
  <c r="AE52" i="78"/>
  <c r="N23" i="78"/>
  <c r="AF34" i="78"/>
  <c r="AF36" i="78"/>
  <c r="N44" i="78"/>
  <c r="N46" i="78"/>
  <c r="AF57" i="78"/>
  <c r="N62" i="78"/>
  <c r="N63" i="78"/>
  <c r="AF75" i="78"/>
  <c r="M15" i="78"/>
  <c r="N18" i="78"/>
  <c r="N20" i="78"/>
  <c r="P22" i="78"/>
  <c r="N38" i="78"/>
  <c r="P40" i="78"/>
  <c r="N41" i="78"/>
  <c r="P43" i="78"/>
  <c r="P45" i="78"/>
  <c r="N59" i="78"/>
  <c r="N19" i="78"/>
  <c r="N21" i="78"/>
  <c r="N42" i="78"/>
  <c r="N60" i="78"/>
  <c r="N75" i="78"/>
  <c r="AE62" i="78"/>
  <c r="AE63" i="78"/>
  <c r="M67" i="78"/>
  <c r="AE21" i="78"/>
  <c r="AE42" i="78"/>
  <c r="AE44" i="78"/>
  <c r="M48" i="78"/>
  <c r="AE60" i="78"/>
  <c r="AE18" i="78"/>
  <c r="AE20" i="78"/>
  <c r="AE38" i="78"/>
  <c r="AE41" i="78"/>
  <c r="AE59" i="78"/>
  <c r="AE19" i="78"/>
  <c r="AD67" i="72"/>
  <c r="Z67" i="72"/>
  <c r="Y67" i="72"/>
  <c r="O67" i="72"/>
  <c r="K67" i="72"/>
  <c r="V66" i="72"/>
  <c r="U66" i="72"/>
  <c r="O66" i="72"/>
  <c r="M66" i="72"/>
  <c r="AF66" i="72" s="1"/>
  <c r="K66" i="72"/>
  <c r="G66" i="72"/>
  <c r="AF65" i="72"/>
  <c r="AE65" i="72"/>
  <c r="X65" i="72"/>
  <c r="W65" i="72"/>
  <c r="V65" i="72"/>
  <c r="U65" i="72"/>
  <c r="Q65" i="72"/>
  <c r="P65" i="72"/>
  <c r="O65" i="72"/>
  <c r="N65" i="72"/>
  <c r="M65" i="72"/>
  <c r="K65" i="72"/>
  <c r="G65" i="72"/>
  <c r="AF64" i="72"/>
  <c r="AE64" i="72"/>
  <c r="V64" i="72"/>
  <c r="U64" i="72"/>
  <c r="Q64" i="72"/>
  <c r="O64" i="72"/>
  <c r="N64" i="72"/>
  <c r="P64" i="72" s="1"/>
  <c r="M64" i="72"/>
  <c r="K64" i="72"/>
  <c r="G64" i="72"/>
  <c r="AF63" i="72"/>
  <c r="AE63" i="72"/>
  <c r="V63" i="72"/>
  <c r="U63" i="72"/>
  <c r="Q63" i="72"/>
  <c r="P63" i="72"/>
  <c r="O63" i="72"/>
  <c r="N63" i="72"/>
  <c r="M63" i="72"/>
  <c r="K63" i="72"/>
  <c r="G63" i="72"/>
  <c r="V62" i="72"/>
  <c r="U62" i="72"/>
  <c r="O62" i="72"/>
  <c r="M62" i="72"/>
  <c r="N62" i="72" s="1"/>
  <c r="K62" i="72"/>
  <c r="G62" i="72"/>
  <c r="AF61" i="72"/>
  <c r="AE61" i="72"/>
  <c r="X61" i="72"/>
  <c r="W61" i="72"/>
  <c r="V61" i="72"/>
  <c r="O61" i="72"/>
  <c r="M61" i="72"/>
  <c r="N61" i="72" s="1"/>
  <c r="K61" i="72"/>
  <c r="G61" i="72"/>
  <c r="AF60" i="72"/>
  <c r="AG55" i="72" s="1"/>
  <c r="AE60" i="72"/>
  <c r="AD60" i="72"/>
  <c r="Z60" i="72"/>
  <c r="Y60" i="72"/>
  <c r="O60" i="72"/>
  <c r="N60" i="72"/>
  <c r="Q60" i="72" s="1"/>
  <c r="R55" i="72" s="1"/>
  <c r="M60" i="72"/>
  <c r="K60" i="72"/>
  <c r="AF59" i="72"/>
  <c r="AE59" i="72"/>
  <c r="V59" i="72"/>
  <c r="U59" i="72"/>
  <c r="Q59" i="72"/>
  <c r="P59" i="72"/>
  <c r="O59" i="72"/>
  <c r="N59" i="72"/>
  <c r="M59" i="72"/>
  <c r="K59" i="72"/>
  <c r="G59" i="72"/>
  <c r="AF58" i="72"/>
  <c r="AE58" i="72"/>
  <c r="V58" i="72"/>
  <c r="U58" i="72"/>
  <c r="Q58" i="72"/>
  <c r="P58" i="72"/>
  <c r="O58" i="72"/>
  <c r="N58" i="72"/>
  <c r="M58" i="72"/>
  <c r="K58" i="72"/>
  <c r="G58" i="72"/>
  <c r="AF57" i="72"/>
  <c r="AE57" i="72"/>
  <c r="V57" i="72"/>
  <c r="U57" i="72"/>
  <c r="Q57" i="72"/>
  <c r="O57" i="72"/>
  <c r="N57" i="72"/>
  <c r="P57" i="72" s="1"/>
  <c r="M57" i="72"/>
  <c r="K57" i="72"/>
  <c r="G57" i="72"/>
  <c r="AF56" i="72"/>
  <c r="AE56" i="72"/>
  <c r="V56" i="72"/>
  <c r="U56" i="72"/>
  <c r="Q56" i="72"/>
  <c r="P56" i="72"/>
  <c r="O56" i="72"/>
  <c r="N56" i="72"/>
  <c r="M56" i="72"/>
  <c r="K56" i="72"/>
  <c r="G56" i="72"/>
  <c r="AF55" i="72"/>
  <c r="AE55" i="72"/>
  <c r="V55" i="72"/>
  <c r="Q55" i="72"/>
  <c r="P55" i="72"/>
  <c r="O55" i="72"/>
  <c r="N55" i="72"/>
  <c r="M55" i="72"/>
  <c r="K55" i="72"/>
  <c r="G55" i="72"/>
  <c r="AD54" i="72"/>
  <c r="Z54" i="72"/>
  <c r="Y54" i="72"/>
  <c r="O54" i="72"/>
  <c r="K54" i="72"/>
  <c r="AF53" i="72"/>
  <c r="AE53" i="72"/>
  <c r="V53" i="72"/>
  <c r="U53" i="72"/>
  <c r="Q53" i="72"/>
  <c r="P53" i="72"/>
  <c r="O53" i="72"/>
  <c r="N53" i="72"/>
  <c r="M53" i="72"/>
  <c r="K53" i="72"/>
  <c r="G53" i="72"/>
  <c r="V52" i="72"/>
  <c r="U52" i="72"/>
  <c r="O52" i="72"/>
  <c r="M52" i="72"/>
  <c r="AF52" i="72" s="1"/>
  <c r="K52" i="72"/>
  <c r="G52" i="72"/>
  <c r="AF51" i="72"/>
  <c r="AE51" i="72"/>
  <c r="V51" i="72"/>
  <c r="U51" i="72"/>
  <c r="Q51" i="72"/>
  <c r="P51" i="72"/>
  <c r="O51" i="72"/>
  <c r="N51" i="72"/>
  <c r="M51" i="72"/>
  <c r="K51" i="72"/>
  <c r="G51" i="72"/>
  <c r="AF50" i="72"/>
  <c r="AE50" i="72"/>
  <c r="V50" i="72"/>
  <c r="U50" i="72"/>
  <c r="Q50" i="72"/>
  <c r="P50" i="72"/>
  <c r="O50" i="72"/>
  <c r="N50" i="72"/>
  <c r="M50" i="72"/>
  <c r="K50" i="72"/>
  <c r="G50" i="72"/>
  <c r="AF49" i="72"/>
  <c r="AE49" i="72"/>
  <c r="V49" i="72"/>
  <c r="U49" i="72"/>
  <c r="Q49" i="72"/>
  <c r="P49" i="72"/>
  <c r="O49" i="72"/>
  <c r="N49" i="72"/>
  <c r="M49" i="72"/>
  <c r="K49" i="72"/>
  <c r="G49" i="72"/>
  <c r="AF48" i="72"/>
  <c r="AE48" i="72"/>
  <c r="V48" i="72"/>
  <c r="U48" i="72"/>
  <c r="Q48" i="72"/>
  <c r="O48" i="72"/>
  <c r="N48" i="72"/>
  <c r="P48" i="72" s="1"/>
  <c r="M48" i="72"/>
  <c r="K48" i="72"/>
  <c r="G48" i="72"/>
  <c r="AF47" i="72"/>
  <c r="AE47" i="72"/>
  <c r="V47" i="72"/>
  <c r="Q47" i="72"/>
  <c r="P47" i="72"/>
  <c r="O47" i="72"/>
  <c r="N47" i="72"/>
  <c r="M47" i="72"/>
  <c r="K47" i="72"/>
  <c r="G47" i="72"/>
  <c r="AD46" i="72"/>
  <c r="Z46" i="72"/>
  <c r="Y46" i="72"/>
  <c r="O46" i="72"/>
  <c r="M46" i="72"/>
  <c r="N46" i="72" s="1"/>
  <c r="K46" i="72"/>
  <c r="AF45" i="72"/>
  <c r="AE45" i="72"/>
  <c r="V45" i="72"/>
  <c r="U45" i="72"/>
  <c r="Q45" i="72"/>
  <c r="O45" i="72"/>
  <c r="N45" i="72"/>
  <c r="M45" i="72"/>
  <c r="K45" i="72"/>
  <c r="P45" i="72" s="1"/>
  <c r="G45" i="72"/>
  <c r="AF44" i="72"/>
  <c r="AE44" i="72"/>
  <c r="V44" i="72"/>
  <c r="U44" i="72"/>
  <c r="Q44" i="72"/>
  <c r="P44" i="72"/>
  <c r="O44" i="72"/>
  <c r="N44" i="72"/>
  <c r="M44" i="72"/>
  <c r="K44" i="72"/>
  <c r="G44" i="72"/>
  <c r="V43" i="72"/>
  <c r="U43" i="72"/>
  <c r="O43" i="72"/>
  <c r="M43" i="72"/>
  <c r="AF43" i="72" s="1"/>
  <c r="K43" i="72"/>
  <c r="G43" i="72"/>
  <c r="AF42" i="72"/>
  <c r="AE42" i="72"/>
  <c r="X42" i="72"/>
  <c r="W42" i="72"/>
  <c r="V42" i="72"/>
  <c r="Q42" i="72"/>
  <c r="P42" i="72"/>
  <c r="O42" i="72"/>
  <c r="N42" i="72"/>
  <c r="M42" i="72"/>
  <c r="K42" i="72"/>
  <c r="G42" i="72"/>
  <c r="AD41" i="72"/>
  <c r="Z41" i="72"/>
  <c r="Y41" i="72"/>
  <c r="O41" i="72"/>
  <c r="M41" i="72"/>
  <c r="N41" i="72" s="1"/>
  <c r="K41" i="72"/>
  <c r="AF40" i="72"/>
  <c r="AE40" i="72"/>
  <c r="V40" i="72"/>
  <c r="U40" i="72"/>
  <c r="Q40" i="72"/>
  <c r="P40" i="72"/>
  <c r="O40" i="72"/>
  <c r="N40" i="72"/>
  <c r="M40" i="72"/>
  <c r="K40" i="72"/>
  <c r="G40" i="72"/>
  <c r="AF39" i="72"/>
  <c r="AE39" i="72"/>
  <c r="V39" i="72"/>
  <c r="U39" i="72"/>
  <c r="Q39" i="72"/>
  <c r="P39" i="72"/>
  <c r="O39" i="72"/>
  <c r="N39" i="72"/>
  <c r="M39" i="72"/>
  <c r="K39" i="72"/>
  <c r="G39" i="72"/>
  <c r="AE38" i="72"/>
  <c r="X38" i="72"/>
  <c r="W38" i="72"/>
  <c r="V38" i="72"/>
  <c r="U38" i="72"/>
  <c r="O38" i="72"/>
  <c r="M38" i="72"/>
  <c r="AF38" i="72" s="1"/>
  <c r="K38" i="72"/>
  <c r="G38" i="72"/>
  <c r="AF37" i="72"/>
  <c r="AE37" i="72"/>
  <c r="V37" i="72"/>
  <c r="U37" i="72"/>
  <c r="Q37" i="72"/>
  <c r="P37" i="72"/>
  <c r="O37" i="72"/>
  <c r="N37" i="72"/>
  <c r="M37" i="72"/>
  <c r="K37" i="72"/>
  <c r="G37" i="72"/>
  <c r="AF36" i="72"/>
  <c r="AE36" i="72"/>
  <c r="V36" i="72"/>
  <c r="U36" i="72"/>
  <c r="Q36" i="72"/>
  <c r="P36" i="72"/>
  <c r="O36" i="72"/>
  <c r="N36" i="72"/>
  <c r="M36" i="72"/>
  <c r="K36" i="72"/>
  <c r="G36" i="72"/>
  <c r="AF35" i="72"/>
  <c r="AE35" i="72"/>
  <c r="V35" i="72"/>
  <c r="U35" i="72"/>
  <c r="Q35" i="72"/>
  <c r="P35" i="72"/>
  <c r="O35" i="72"/>
  <c r="N35" i="72"/>
  <c r="M35" i="72"/>
  <c r="K35" i="72"/>
  <c r="G35" i="72"/>
  <c r="AF34" i="72"/>
  <c r="AE34" i="72"/>
  <c r="X34" i="72"/>
  <c r="W34" i="72"/>
  <c r="V34" i="72"/>
  <c r="Q34" i="72"/>
  <c r="P34" i="72"/>
  <c r="O34" i="72"/>
  <c r="N34" i="72"/>
  <c r="M34" i="72"/>
  <c r="K34" i="72"/>
  <c r="G34" i="72"/>
  <c r="AD33" i="72"/>
  <c r="Z33" i="72"/>
  <c r="Y33" i="72"/>
  <c r="O33" i="72"/>
  <c r="K33" i="72"/>
  <c r="AF32" i="72"/>
  <c r="AE32" i="72"/>
  <c r="V32" i="72"/>
  <c r="U32" i="72"/>
  <c r="Q32" i="72"/>
  <c r="P32" i="72"/>
  <c r="O32" i="72"/>
  <c r="N32" i="72"/>
  <c r="M32" i="72"/>
  <c r="K32" i="72"/>
  <c r="G32" i="72"/>
  <c r="V31" i="72"/>
  <c r="U31" i="72"/>
  <c r="O31" i="72"/>
  <c r="M31" i="72"/>
  <c r="AF31" i="72" s="1"/>
  <c r="K31" i="72"/>
  <c r="G31" i="72"/>
  <c r="AF30" i="72"/>
  <c r="AE30" i="72"/>
  <c r="X30" i="72"/>
  <c r="W30" i="72"/>
  <c r="V30" i="72"/>
  <c r="U30" i="72"/>
  <c r="Q30" i="72"/>
  <c r="P30" i="72"/>
  <c r="O30" i="72"/>
  <c r="N30" i="72"/>
  <c r="M30" i="72"/>
  <c r="K30" i="72"/>
  <c r="G30" i="72"/>
  <c r="AF29" i="72"/>
  <c r="AE29" i="72"/>
  <c r="V29" i="72"/>
  <c r="U29" i="72"/>
  <c r="Q29" i="72"/>
  <c r="O29" i="72"/>
  <c r="N29" i="72"/>
  <c r="P29" i="72" s="1"/>
  <c r="M29" i="72"/>
  <c r="K29" i="72"/>
  <c r="G29" i="72"/>
  <c r="AF28" i="72"/>
  <c r="AE28" i="72"/>
  <c r="V28" i="72"/>
  <c r="U28" i="72"/>
  <c r="Q28" i="72"/>
  <c r="P28" i="72"/>
  <c r="O28" i="72"/>
  <c r="N28" i="72"/>
  <c r="M28" i="72"/>
  <c r="K28" i="72"/>
  <c r="G28" i="72"/>
  <c r="AF27" i="72"/>
  <c r="AE27" i="72"/>
  <c r="X27" i="72"/>
  <c r="W27" i="72"/>
  <c r="V27" i="72"/>
  <c r="Q27" i="72"/>
  <c r="P27" i="72"/>
  <c r="O27" i="72"/>
  <c r="N27" i="72"/>
  <c r="M27" i="72"/>
  <c r="K27" i="72"/>
  <c r="G27" i="72"/>
  <c r="AF26" i="72"/>
  <c r="AG20" i="72" s="1"/>
  <c r="AD26" i="72"/>
  <c r="Z26" i="72"/>
  <c r="Y26" i="72"/>
  <c r="Q26" i="72"/>
  <c r="R20" i="72" s="1"/>
  <c r="O26" i="72"/>
  <c r="N26" i="72"/>
  <c r="P26" i="72" s="1"/>
  <c r="M26" i="72"/>
  <c r="AE26" i="72" s="1"/>
  <c r="K26" i="72"/>
  <c r="AF25" i="72"/>
  <c r="AE25" i="72"/>
  <c r="V25" i="72"/>
  <c r="U25" i="72"/>
  <c r="Q25" i="72"/>
  <c r="P25" i="72"/>
  <c r="O25" i="72"/>
  <c r="N25" i="72"/>
  <c r="M25" i="72"/>
  <c r="K25" i="72"/>
  <c r="G25" i="72"/>
  <c r="AF24" i="72"/>
  <c r="AE24" i="72"/>
  <c r="V24" i="72"/>
  <c r="U24" i="72"/>
  <c r="Q24" i="72"/>
  <c r="P24" i="72"/>
  <c r="O24" i="72"/>
  <c r="N24" i="72"/>
  <c r="M24" i="72"/>
  <c r="K24" i="72"/>
  <c r="G24" i="72"/>
  <c r="AF23" i="72"/>
  <c r="AE23" i="72"/>
  <c r="V23" i="72"/>
  <c r="U23" i="72"/>
  <c r="Q23" i="72"/>
  <c r="P23" i="72"/>
  <c r="O23" i="72"/>
  <c r="N23" i="72"/>
  <c r="M23" i="72"/>
  <c r="K23" i="72"/>
  <c r="G23" i="72"/>
  <c r="AF22" i="72"/>
  <c r="AE22" i="72"/>
  <c r="V22" i="72"/>
  <c r="U22" i="72"/>
  <c r="Q22" i="72"/>
  <c r="O22" i="72"/>
  <c r="N22" i="72"/>
  <c r="P22" i="72" s="1"/>
  <c r="M22" i="72"/>
  <c r="K22" i="72"/>
  <c r="G22" i="72"/>
  <c r="AF21" i="72"/>
  <c r="AE21" i="72"/>
  <c r="V21" i="72"/>
  <c r="U21" i="72"/>
  <c r="Q21" i="72"/>
  <c r="P21" i="72"/>
  <c r="O21" i="72"/>
  <c r="N21" i="72"/>
  <c r="M21" i="72"/>
  <c r="K21" i="72"/>
  <c r="G21" i="72"/>
  <c r="AF20" i="72"/>
  <c r="AE20" i="72"/>
  <c r="V20" i="72"/>
  <c r="Q20" i="72"/>
  <c r="P20" i="72"/>
  <c r="O20" i="72"/>
  <c r="N20" i="72"/>
  <c r="M20" i="72"/>
  <c r="K20" i="72"/>
  <c r="G20" i="72"/>
  <c r="AD19" i="72"/>
  <c r="Z19" i="72"/>
  <c r="Y19" i="72"/>
  <c r="O19" i="72"/>
  <c r="K19" i="72"/>
  <c r="AF18" i="72"/>
  <c r="AE18" i="72"/>
  <c r="V18" i="72"/>
  <c r="U18" i="72"/>
  <c r="Q18" i="72"/>
  <c r="P18" i="72"/>
  <c r="O18" i="72"/>
  <c r="N18" i="72"/>
  <c r="M18" i="72"/>
  <c r="K18" i="72"/>
  <c r="G18" i="72"/>
  <c r="V17" i="72"/>
  <c r="U17" i="72"/>
  <c r="O17" i="72"/>
  <c r="M17" i="72"/>
  <c r="AF17" i="72" s="1"/>
  <c r="K17" i="72"/>
  <c r="G17" i="72"/>
  <c r="AF16" i="72"/>
  <c r="AE16" i="72"/>
  <c r="V16" i="72"/>
  <c r="U16" i="72"/>
  <c r="Q16" i="72"/>
  <c r="P16" i="72"/>
  <c r="O16" i="72"/>
  <c r="N16" i="72"/>
  <c r="M16" i="72"/>
  <c r="K16" i="72"/>
  <c r="G16" i="72"/>
  <c r="AF15" i="72"/>
  <c r="AE15" i="72"/>
  <c r="V15" i="72"/>
  <c r="U15" i="72"/>
  <c r="Q15" i="72"/>
  <c r="P15" i="72"/>
  <c r="O15" i="72"/>
  <c r="N15" i="72"/>
  <c r="M15" i="72"/>
  <c r="K15" i="72"/>
  <c r="G15" i="72"/>
  <c r="AF14" i="72"/>
  <c r="AE14" i="72"/>
  <c r="V14" i="72"/>
  <c r="Q14" i="72"/>
  <c r="P14" i="72"/>
  <c r="O14" i="72"/>
  <c r="N14" i="72"/>
  <c r="M14" i="72"/>
  <c r="K14" i="72"/>
  <c r="G14" i="72"/>
  <c r="AD13" i="72"/>
  <c r="E21" i="71" s="1"/>
  <c r="Z13" i="72"/>
  <c r="E19" i="71" s="1"/>
  <c r="Y13" i="72"/>
  <c r="O13" i="72"/>
  <c r="M13" i="72"/>
  <c r="N13" i="72" s="1"/>
  <c r="K13" i="72"/>
  <c r="AF12" i="72"/>
  <c r="AE12" i="72"/>
  <c r="V12" i="72"/>
  <c r="U12" i="72"/>
  <c r="Q12" i="72"/>
  <c r="P12" i="72"/>
  <c r="O12" i="72"/>
  <c r="N12" i="72"/>
  <c r="M12" i="72"/>
  <c r="K12" i="72"/>
  <c r="G12" i="72"/>
  <c r="AF11" i="72"/>
  <c r="AE11" i="72"/>
  <c r="X11" i="72"/>
  <c r="W11" i="72"/>
  <c r="V11" i="72"/>
  <c r="U11" i="72"/>
  <c r="Q11" i="72"/>
  <c r="P11" i="72"/>
  <c r="O11" i="72"/>
  <c r="N11" i="72"/>
  <c r="M11" i="72"/>
  <c r="K11" i="72"/>
  <c r="G11" i="72"/>
  <c r="V10" i="72"/>
  <c r="U10" i="72"/>
  <c r="O10" i="72"/>
  <c r="M10" i="72"/>
  <c r="AF10" i="72" s="1"/>
  <c r="K10" i="72"/>
  <c r="G10" i="72"/>
  <c r="AF9" i="72"/>
  <c r="AE9" i="72"/>
  <c r="X9" i="72"/>
  <c r="W9" i="72"/>
  <c r="V9" i="72"/>
  <c r="Q9" i="72"/>
  <c r="P9" i="72"/>
  <c r="O9" i="72"/>
  <c r="N9" i="72"/>
  <c r="M9" i="72"/>
  <c r="K9" i="72"/>
  <c r="G9" i="72"/>
  <c r="AD8" i="72"/>
  <c r="AD2" i="72" s="1"/>
  <c r="N6" i="71" s="1"/>
  <c r="Z8" i="72"/>
  <c r="Z2" i="72" s="1"/>
  <c r="L6" i="71" s="1"/>
  <c r="Y8" i="72"/>
  <c r="O8" i="72"/>
  <c r="M8" i="72"/>
  <c r="N8" i="72" s="1"/>
  <c r="K8" i="72"/>
  <c r="AF7" i="72"/>
  <c r="AE7" i="72"/>
  <c r="V7" i="72"/>
  <c r="U7" i="72"/>
  <c r="Q7" i="72"/>
  <c r="P7" i="72"/>
  <c r="O7" i="72"/>
  <c r="N7" i="72"/>
  <c r="M7" i="72"/>
  <c r="K7" i="72"/>
  <c r="G7" i="72"/>
  <c r="F1" i="72" s="1"/>
  <c r="AF6" i="72"/>
  <c r="AE6" i="72"/>
  <c r="V6" i="72"/>
  <c r="U6" i="72"/>
  <c r="Q6" i="72"/>
  <c r="P6" i="72"/>
  <c r="O6" i="72"/>
  <c r="N6" i="72"/>
  <c r="M6" i="72"/>
  <c r="K6" i="72"/>
  <c r="G6" i="72"/>
  <c r="AF5" i="72"/>
  <c r="AE5" i="72"/>
  <c r="V5" i="72"/>
  <c r="O5" i="72"/>
  <c r="M5" i="72"/>
  <c r="N5" i="72" s="1"/>
  <c r="K5" i="72"/>
  <c r="G5" i="72"/>
  <c r="Y2" i="72"/>
  <c r="H2" i="72"/>
  <c r="H1" i="72"/>
  <c r="D1" i="72"/>
  <c r="M22" i="71"/>
  <c r="L22" i="71"/>
  <c r="K22" i="71"/>
  <c r="J22" i="71"/>
  <c r="I22" i="71"/>
  <c r="H22" i="71"/>
  <c r="G22" i="71"/>
  <c r="F22" i="71"/>
  <c r="E22" i="71"/>
  <c r="D22" i="71"/>
  <c r="M21" i="71"/>
  <c r="L21" i="71"/>
  <c r="K21" i="71"/>
  <c r="J21" i="71"/>
  <c r="I21" i="71"/>
  <c r="H21" i="71"/>
  <c r="G21" i="71"/>
  <c r="F21" i="71"/>
  <c r="D21" i="71"/>
  <c r="M20" i="71"/>
  <c r="L20" i="71"/>
  <c r="K20" i="71"/>
  <c r="J20" i="71"/>
  <c r="I20" i="71"/>
  <c r="H20" i="71"/>
  <c r="G20" i="71"/>
  <c r="F20" i="71"/>
  <c r="E20" i="71"/>
  <c r="D20" i="71"/>
  <c r="M19" i="71"/>
  <c r="L19" i="71"/>
  <c r="K19" i="71"/>
  <c r="J19" i="71"/>
  <c r="I19" i="71"/>
  <c r="H19" i="71"/>
  <c r="G19" i="71"/>
  <c r="F19" i="71"/>
  <c r="D19" i="71"/>
  <c r="M18" i="71"/>
  <c r="L18" i="71"/>
  <c r="K18" i="71"/>
  <c r="J18" i="71"/>
  <c r="I18" i="71"/>
  <c r="H18" i="71"/>
  <c r="G18" i="71"/>
  <c r="F18" i="71"/>
  <c r="E18" i="71"/>
  <c r="D18" i="71"/>
  <c r="M17" i="71"/>
  <c r="L17" i="71"/>
  <c r="K17" i="71"/>
  <c r="J17" i="71"/>
  <c r="I17" i="71"/>
  <c r="H17" i="71"/>
  <c r="G17" i="71"/>
  <c r="F17" i="71"/>
  <c r="E17" i="71"/>
  <c r="D17" i="71"/>
  <c r="M16" i="71"/>
  <c r="L16" i="71"/>
  <c r="K16" i="71"/>
  <c r="J16" i="71"/>
  <c r="I16" i="71"/>
  <c r="H16" i="71"/>
  <c r="G16" i="71"/>
  <c r="F16" i="71"/>
  <c r="E16" i="71"/>
  <c r="D16" i="71"/>
  <c r="G14" i="71"/>
  <c r="G15" i="71" s="1"/>
  <c r="M13" i="71"/>
  <c r="L13" i="71"/>
  <c r="K13" i="71"/>
  <c r="I6" i="71" s="1"/>
  <c r="J13" i="71"/>
  <c r="I13" i="71"/>
  <c r="H13" i="71"/>
  <c r="G13" i="71"/>
  <c r="F13" i="71"/>
  <c r="F6" i="71" s="1"/>
  <c r="E13" i="71"/>
  <c r="D13" i="71"/>
  <c r="M6" i="71"/>
  <c r="K6" i="71"/>
  <c r="F3" i="71"/>
  <c r="C3" i="71"/>
  <c r="Q68" i="78" l="1"/>
  <c r="P68" i="78"/>
  <c r="P23" i="78"/>
  <c r="Q23" i="78"/>
  <c r="Q54" i="78"/>
  <c r="P54" i="78"/>
  <c r="Q11" i="78"/>
  <c r="P11" i="78"/>
  <c r="Q75" i="78"/>
  <c r="P75" i="78"/>
  <c r="Q20" i="78"/>
  <c r="P20" i="78"/>
  <c r="P69" i="78"/>
  <c r="Q69" i="78"/>
  <c r="AF61" i="78"/>
  <c r="AG54" i="78" s="1"/>
  <c r="AE61" i="78"/>
  <c r="N61" i="78"/>
  <c r="Q30" i="78"/>
  <c r="P30" i="78"/>
  <c r="Q14" i="78"/>
  <c r="P14" i="78"/>
  <c r="AF39" i="78"/>
  <c r="AG32" i="78" s="1"/>
  <c r="AE39" i="78"/>
  <c r="N39" i="78"/>
  <c r="Q65" i="78"/>
  <c r="P65" i="78"/>
  <c r="Q60" i="78"/>
  <c r="P60" i="78"/>
  <c r="Q29" i="78"/>
  <c r="P29" i="78"/>
  <c r="P52" i="78"/>
  <c r="Q52" i="78"/>
  <c r="N53" i="78"/>
  <c r="AE53" i="78"/>
  <c r="AF53" i="78"/>
  <c r="AG49" i="78" s="1"/>
  <c r="Q33" i="78"/>
  <c r="P33" i="78"/>
  <c r="Q72" i="78"/>
  <c r="P72" i="78"/>
  <c r="Q12" i="78"/>
  <c r="P12" i="78"/>
  <c r="Q5" i="78"/>
  <c r="P5" i="78"/>
  <c r="P63" i="78"/>
  <c r="Q63" i="78"/>
  <c r="N48" i="78"/>
  <c r="AF48" i="78"/>
  <c r="AG40" i="78" s="1"/>
  <c r="AE48" i="78"/>
  <c r="Q59" i="78"/>
  <c r="P59" i="78"/>
  <c r="P62" i="78"/>
  <c r="Q62" i="78"/>
  <c r="Q26" i="78"/>
  <c r="P26" i="78"/>
  <c r="Q47" i="78"/>
  <c r="P47" i="78"/>
  <c r="Q50" i="78"/>
  <c r="P50" i="78"/>
  <c r="Q51" i="78"/>
  <c r="P51" i="78"/>
  <c r="P27" i="78"/>
  <c r="Q27" i="78"/>
  <c r="AE15" i="78"/>
  <c r="N15" i="78"/>
  <c r="AF15" i="78"/>
  <c r="AG10" i="78" s="1"/>
  <c r="Q21" i="78"/>
  <c r="P21" i="78"/>
  <c r="Q71" i="78"/>
  <c r="P71" i="78"/>
  <c r="AE31" i="78"/>
  <c r="N31" i="78"/>
  <c r="AF31" i="78"/>
  <c r="AG25" i="78" s="1"/>
  <c r="Q8" i="78"/>
  <c r="P8" i="78"/>
  <c r="Q70" i="78"/>
  <c r="P70" i="78"/>
  <c r="Q42" i="78"/>
  <c r="P42" i="78"/>
  <c r="P49" i="78"/>
  <c r="Q49" i="78"/>
  <c r="Q19" i="78"/>
  <c r="P19" i="78"/>
  <c r="P66" i="78"/>
  <c r="Q66" i="78"/>
  <c r="P46" i="78"/>
  <c r="Q46" i="78"/>
  <c r="Q74" i="78"/>
  <c r="P74" i="78"/>
  <c r="Q38" i="78"/>
  <c r="P38" i="78"/>
  <c r="Q18" i="78"/>
  <c r="P18" i="78"/>
  <c r="N9" i="78"/>
  <c r="AF9" i="78"/>
  <c r="AG5" i="78" s="1"/>
  <c r="AE9" i="78"/>
  <c r="Q73" i="78"/>
  <c r="P73" i="78"/>
  <c r="F14" i="77"/>
  <c r="F15" i="77" s="1"/>
  <c r="Q24" i="78"/>
  <c r="R16" i="78" s="1"/>
  <c r="P24" i="78"/>
  <c r="Q41" i="78"/>
  <c r="P41" i="78"/>
  <c r="P44" i="78"/>
  <c r="Q44" i="78"/>
  <c r="Q7" i="78"/>
  <c r="P7" i="78"/>
  <c r="Q28" i="78"/>
  <c r="P28" i="78"/>
  <c r="Q56" i="78"/>
  <c r="P56" i="78"/>
  <c r="Q13" i="78"/>
  <c r="P13" i="78"/>
  <c r="AF76" i="78"/>
  <c r="AG68" i="78" s="1"/>
  <c r="AE76" i="78"/>
  <c r="N76" i="78"/>
  <c r="N67" i="78"/>
  <c r="AE67" i="78"/>
  <c r="AF67" i="78"/>
  <c r="AG62" i="78" s="1"/>
  <c r="Q64" i="78"/>
  <c r="P64" i="78"/>
  <c r="Q25" i="78"/>
  <c r="P25" i="78"/>
  <c r="Q6" i="78"/>
  <c r="P6" i="78"/>
  <c r="Q55" i="78"/>
  <c r="P55" i="78"/>
  <c r="Q5" i="72"/>
  <c r="P5" i="72"/>
  <c r="P61" i="72"/>
  <c r="Q61" i="72"/>
  <c r="Q8" i="72"/>
  <c r="R5" i="72" s="1"/>
  <c r="P8" i="72"/>
  <c r="D14" i="71"/>
  <c r="Q62" i="72"/>
  <c r="P62" i="72"/>
  <c r="Q41" i="72"/>
  <c r="R34" i="72" s="1"/>
  <c r="P41" i="72"/>
  <c r="L14" i="71"/>
  <c r="L15" i="71" s="1"/>
  <c r="F2" i="72"/>
  <c r="I3" i="71"/>
  <c r="Q13" i="72"/>
  <c r="R9" i="72" s="1"/>
  <c r="P13" i="72"/>
  <c r="E14" i="71"/>
  <c r="E15" i="71" s="1"/>
  <c r="Q46" i="72"/>
  <c r="R42" i="72" s="1"/>
  <c r="P46" i="72"/>
  <c r="H14" i="71"/>
  <c r="H15" i="71" s="1"/>
  <c r="AE46" i="72"/>
  <c r="N10" i="72"/>
  <c r="N17" i="72"/>
  <c r="M19" i="72"/>
  <c r="N31" i="72"/>
  <c r="M33" i="72"/>
  <c r="N38" i="72"/>
  <c r="N43" i="72"/>
  <c r="AF46" i="72"/>
  <c r="AG42" i="72" s="1"/>
  <c r="N52" i="72"/>
  <c r="M54" i="72"/>
  <c r="AE62" i="72"/>
  <c r="N66" i="72"/>
  <c r="AE8" i="72"/>
  <c r="AE13" i="72"/>
  <c r="AE41" i="72"/>
  <c r="AF62" i="72"/>
  <c r="AF8" i="72"/>
  <c r="AG5" i="72" s="1"/>
  <c r="AF13" i="72"/>
  <c r="AG9" i="72" s="1"/>
  <c r="AF41" i="72"/>
  <c r="AG34" i="72" s="1"/>
  <c r="J14" i="71"/>
  <c r="J15" i="71" s="1"/>
  <c r="AE10" i="72"/>
  <c r="AE17" i="72"/>
  <c r="AE31" i="72"/>
  <c r="AE43" i="72"/>
  <c r="AE52" i="72"/>
  <c r="AE66" i="72"/>
  <c r="M67" i="72"/>
  <c r="P60" i="72"/>
  <c r="G6" i="71"/>
  <c r="E6" i="71"/>
  <c r="Q39" i="78" l="1"/>
  <c r="R32" i="78" s="1"/>
  <c r="P39" i="78"/>
  <c r="K14" i="77"/>
  <c r="Q31" i="78"/>
  <c r="R25" i="78" s="1"/>
  <c r="P31" i="78"/>
  <c r="G14" i="77"/>
  <c r="G15" i="77" s="1"/>
  <c r="P48" i="78"/>
  <c r="Q48" i="78"/>
  <c r="R40" i="78" s="1"/>
  <c r="L14" i="77"/>
  <c r="L15" i="77" s="1"/>
  <c r="D2" i="78"/>
  <c r="Q9" i="78"/>
  <c r="R5" i="78" s="1"/>
  <c r="P9" i="78"/>
  <c r="D14" i="77"/>
  <c r="Q53" i="78"/>
  <c r="R49" i="78" s="1"/>
  <c r="P53" i="78"/>
  <c r="H14" i="77"/>
  <c r="H15" i="77" s="1"/>
  <c r="Q67" i="78"/>
  <c r="R62" i="78" s="1"/>
  <c r="P67" i="78"/>
  <c r="J14" i="77"/>
  <c r="J15" i="77" s="1"/>
  <c r="Q76" i="78"/>
  <c r="R68" i="78" s="1"/>
  <c r="P76" i="78"/>
  <c r="M14" i="77"/>
  <c r="M15" i="77" s="1"/>
  <c r="I14" i="77"/>
  <c r="I15" i="77" s="1"/>
  <c r="P61" i="78"/>
  <c r="Q61" i="78"/>
  <c r="R54" i="78" s="1"/>
  <c r="Q15" i="78"/>
  <c r="R10" i="78" s="1"/>
  <c r="P15" i="78"/>
  <c r="E14" i="77"/>
  <c r="E15" i="77" s="1"/>
  <c r="D15" i="71"/>
  <c r="AF33" i="72"/>
  <c r="AG27" i="72" s="1"/>
  <c r="AE33" i="72"/>
  <c r="N33" i="72"/>
  <c r="P66" i="72"/>
  <c r="Q66" i="72"/>
  <c r="AF54" i="72"/>
  <c r="AG47" i="72" s="1"/>
  <c r="AE54" i="72"/>
  <c r="N54" i="72"/>
  <c r="P52" i="72"/>
  <c r="Q52" i="72"/>
  <c r="AF67" i="72"/>
  <c r="AG61" i="72" s="1"/>
  <c r="AE67" i="72"/>
  <c r="N67" i="72"/>
  <c r="P43" i="72"/>
  <c r="Q43" i="72"/>
  <c r="P38" i="72"/>
  <c r="Q38" i="72"/>
  <c r="P31" i="72"/>
  <c r="Q31" i="72"/>
  <c r="AF19" i="72"/>
  <c r="AG14" i="72" s="1"/>
  <c r="AE19" i="72"/>
  <c r="N19" i="72"/>
  <c r="P17" i="72"/>
  <c r="Q17" i="72"/>
  <c r="P10" i="72"/>
  <c r="Q10" i="72"/>
  <c r="AD67" i="70"/>
  <c r="Z67" i="70"/>
  <c r="Y67" i="70"/>
  <c r="M18" i="69" s="1"/>
  <c r="O67" i="70"/>
  <c r="K67" i="70"/>
  <c r="V66" i="70"/>
  <c r="U66" i="70"/>
  <c r="O66" i="70"/>
  <c r="M66" i="70"/>
  <c r="AE66" i="70" s="1"/>
  <c r="K66" i="70"/>
  <c r="G66" i="70"/>
  <c r="X65" i="70"/>
  <c r="W65" i="70"/>
  <c r="V65" i="70"/>
  <c r="U65" i="70"/>
  <c r="O65" i="70"/>
  <c r="M65" i="70"/>
  <c r="AF65" i="70" s="1"/>
  <c r="K65" i="70"/>
  <c r="G65" i="70"/>
  <c r="V64" i="70"/>
  <c r="U64" i="70"/>
  <c r="O64" i="70"/>
  <c r="M64" i="70"/>
  <c r="AE64" i="70" s="1"/>
  <c r="K64" i="70"/>
  <c r="G64" i="70"/>
  <c r="AF63" i="70"/>
  <c r="AE63" i="70"/>
  <c r="V63" i="70"/>
  <c r="U63" i="70"/>
  <c r="O63" i="70"/>
  <c r="M63" i="70"/>
  <c r="N63" i="70" s="1"/>
  <c r="K63" i="70"/>
  <c r="G63" i="70"/>
  <c r="V62" i="70"/>
  <c r="M62" i="70" s="1"/>
  <c r="U62" i="70"/>
  <c r="O62" i="70"/>
  <c r="K62" i="70"/>
  <c r="G62" i="70"/>
  <c r="AF61" i="70"/>
  <c r="X61" i="70"/>
  <c r="W61" i="70"/>
  <c r="V61" i="70"/>
  <c r="O61" i="70"/>
  <c r="M61" i="70"/>
  <c r="N61" i="70" s="1"/>
  <c r="K61" i="70"/>
  <c r="G61" i="70"/>
  <c r="AD60" i="70"/>
  <c r="Z60" i="70"/>
  <c r="Y60" i="70"/>
  <c r="O60" i="70"/>
  <c r="K60" i="70"/>
  <c r="J13" i="69" s="1"/>
  <c r="V59" i="70"/>
  <c r="M59" i="70" s="1"/>
  <c r="U59" i="70"/>
  <c r="O59" i="70"/>
  <c r="K59" i="70"/>
  <c r="G59" i="70"/>
  <c r="V58" i="70"/>
  <c r="M58" i="70" s="1"/>
  <c r="U58" i="70"/>
  <c r="O58" i="70"/>
  <c r="K58" i="70"/>
  <c r="G58" i="70"/>
  <c r="V57" i="70"/>
  <c r="M57" i="70" s="1"/>
  <c r="U57" i="70"/>
  <c r="O57" i="70"/>
  <c r="K57" i="70"/>
  <c r="G57" i="70"/>
  <c r="V56" i="70"/>
  <c r="M56" i="70" s="1"/>
  <c r="U56" i="70"/>
  <c r="O56" i="70"/>
  <c r="K56" i="70"/>
  <c r="G56" i="70"/>
  <c r="V55" i="70"/>
  <c r="M55" i="70" s="1"/>
  <c r="O55" i="70"/>
  <c r="K55" i="70"/>
  <c r="G55" i="70"/>
  <c r="AD54" i="70"/>
  <c r="I21" i="69" s="1"/>
  <c r="Z54" i="70"/>
  <c r="Y54" i="70"/>
  <c r="I18" i="69" s="1"/>
  <c r="O54" i="70"/>
  <c r="K54" i="70"/>
  <c r="V53" i="70"/>
  <c r="M53" i="70" s="1"/>
  <c r="U53" i="70"/>
  <c r="O53" i="70"/>
  <c r="K53" i="70"/>
  <c r="G53" i="70"/>
  <c r="V52" i="70"/>
  <c r="U52" i="70"/>
  <c r="Q52" i="70"/>
  <c r="P52" i="70"/>
  <c r="O52" i="70"/>
  <c r="N52" i="70"/>
  <c r="M52" i="70"/>
  <c r="AF52" i="70" s="1"/>
  <c r="K52" i="70"/>
  <c r="G52" i="70"/>
  <c r="V51" i="70"/>
  <c r="U51" i="70"/>
  <c r="O51" i="70"/>
  <c r="N51" i="70"/>
  <c r="Q51" i="70" s="1"/>
  <c r="M51" i="70"/>
  <c r="AF51" i="70" s="1"/>
  <c r="K51" i="70"/>
  <c r="G51" i="70"/>
  <c r="V50" i="70"/>
  <c r="U50" i="70"/>
  <c r="O50" i="70"/>
  <c r="N50" i="70"/>
  <c r="Q50" i="70" s="1"/>
  <c r="M50" i="70"/>
  <c r="AF50" i="70" s="1"/>
  <c r="K50" i="70"/>
  <c r="G50" i="70"/>
  <c r="V49" i="70"/>
  <c r="U49" i="70"/>
  <c r="O49" i="70"/>
  <c r="M49" i="70"/>
  <c r="AF49" i="70" s="1"/>
  <c r="K49" i="70"/>
  <c r="G49" i="70"/>
  <c r="V48" i="70"/>
  <c r="U48" i="70"/>
  <c r="O48" i="70"/>
  <c r="M48" i="70"/>
  <c r="AE48" i="70" s="1"/>
  <c r="K48" i="70"/>
  <c r="G48" i="70"/>
  <c r="V47" i="70"/>
  <c r="O47" i="70"/>
  <c r="M47" i="70"/>
  <c r="AE47" i="70" s="1"/>
  <c r="K47" i="70"/>
  <c r="G47" i="70"/>
  <c r="AD46" i="70"/>
  <c r="Z46" i="70"/>
  <c r="Y46" i="70"/>
  <c r="O46" i="70"/>
  <c r="K46" i="70"/>
  <c r="V45" i="70"/>
  <c r="M45" i="70" s="1"/>
  <c r="U45" i="70"/>
  <c r="O45" i="70"/>
  <c r="K45" i="70"/>
  <c r="G45" i="70"/>
  <c r="V44" i="70"/>
  <c r="M44" i="70" s="1"/>
  <c r="U44" i="70"/>
  <c r="O44" i="70"/>
  <c r="K44" i="70"/>
  <c r="G44" i="70"/>
  <c r="V43" i="70"/>
  <c r="M43" i="70" s="1"/>
  <c r="U43" i="70"/>
  <c r="O43" i="70"/>
  <c r="K43" i="70"/>
  <c r="G43" i="70"/>
  <c r="X42" i="70"/>
  <c r="W42" i="70"/>
  <c r="V42" i="70"/>
  <c r="M42" i="70" s="1"/>
  <c r="O42" i="70"/>
  <c r="K42" i="70"/>
  <c r="G42" i="70"/>
  <c r="AD41" i="70"/>
  <c r="Z41" i="70"/>
  <c r="L19" i="69" s="1"/>
  <c r="Y41" i="70"/>
  <c r="O41" i="70"/>
  <c r="K41" i="70"/>
  <c r="V40" i="70"/>
  <c r="M40" i="70" s="1"/>
  <c r="U40" i="70"/>
  <c r="O40" i="70"/>
  <c r="K40" i="70"/>
  <c r="G40" i="70"/>
  <c r="V39" i="70"/>
  <c r="M39" i="70" s="1"/>
  <c r="U39" i="70"/>
  <c r="O39" i="70"/>
  <c r="K39" i="70"/>
  <c r="G39" i="70"/>
  <c r="X38" i="70"/>
  <c r="W38" i="70"/>
  <c r="V38" i="70"/>
  <c r="M38" i="70" s="1"/>
  <c r="U38" i="70"/>
  <c r="O38" i="70"/>
  <c r="K38" i="70"/>
  <c r="G38" i="70"/>
  <c r="V37" i="70"/>
  <c r="M37" i="70" s="1"/>
  <c r="U37" i="70"/>
  <c r="O37" i="70"/>
  <c r="K37" i="70"/>
  <c r="G37" i="70"/>
  <c r="V36" i="70"/>
  <c r="M36" i="70" s="1"/>
  <c r="U36" i="70"/>
  <c r="O36" i="70"/>
  <c r="K36" i="70"/>
  <c r="G36" i="70"/>
  <c r="V35" i="70"/>
  <c r="M35" i="70" s="1"/>
  <c r="U35" i="70"/>
  <c r="O35" i="70"/>
  <c r="K35" i="70"/>
  <c r="G35" i="70"/>
  <c r="X34" i="70"/>
  <c r="W34" i="70"/>
  <c r="V34" i="70"/>
  <c r="M34" i="70" s="1"/>
  <c r="O34" i="70"/>
  <c r="K34" i="70"/>
  <c r="G34" i="70"/>
  <c r="AD33" i="70"/>
  <c r="K21" i="69" s="1"/>
  <c r="Z33" i="70"/>
  <c r="K19" i="69" s="1"/>
  <c r="Y33" i="70"/>
  <c r="K18" i="69" s="1"/>
  <c r="O33" i="70"/>
  <c r="K33" i="70"/>
  <c r="V32" i="70"/>
  <c r="M32" i="70" s="1"/>
  <c r="U32" i="70"/>
  <c r="O32" i="70"/>
  <c r="K32" i="70"/>
  <c r="G32" i="70"/>
  <c r="V31" i="70"/>
  <c r="U31" i="70"/>
  <c r="Q31" i="70"/>
  <c r="P31" i="70"/>
  <c r="O31" i="70"/>
  <c r="N31" i="70"/>
  <c r="M31" i="70"/>
  <c r="AF31" i="70" s="1"/>
  <c r="K31" i="70"/>
  <c r="G31" i="70"/>
  <c r="X30" i="70"/>
  <c r="W30" i="70"/>
  <c r="V30" i="70"/>
  <c r="M30" i="70" s="1"/>
  <c r="U30" i="70"/>
  <c r="O30" i="70"/>
  <c r="K30" i="70"/>
  <c r="G30" i="70"/>
  <c r="V29" i="70"/>
  <c r="U29" i="70"/>
  <c r="Q29" i="70"/>
  <c r="P29" i="70"/>
  <c r="O29" i="70"/>
  <c r="N29" i="70"/>
  <c r="M29" i="70"/>
  <c r="AF29" i="70" s="1"/>
  <c r="K29" i="70"/>
  <c r="G29" i="70"/>
  <c r="V28" i="70"/>
  <c r="U28" i="70"/>
  <c r="O28" i="70"/>
  <c r="N28" i="70"/>
  <c r="Q28" i="70" s="1"/>
  <c r="M28" i="70"/>
  <c r="AF28" i="70" s="1"/>
  <c r="K28" i="70"/>
  <c r="G28" i="70"/>
  <c r="X27" i="70"/>
  <c r="W27" i="70"/>
  <c r="V27" i="70"/>
  <c r="M27" i="70" s="1"/>
  <c r="O27" i="70"/>
  <c r="K27" i="70"/>
  <c r="G27" i="70"/>
  <c r="AD26" i="70"/>
  <c r="G21" i="69" s="1"/>
  <c r="Z26" i="70"/>
  <c r="Y26" i="70"/>
  <c r="O26" i="70"/>
  <c r="K26" i="70"/>
  <c r="V25" i="70"/>
  <c r="U25" i="70"/>
  <c r="O25" i="70"/>
  <c r="N25" i="70"/>
  <c r="Q25" i="70" s="1"/>
  <c r="M25" i="70"/>
  <c r="AF25" i="70" s="1"/>
  <c r="K25" i="70"/>
  <c r="G25" i="70"/>
  <c r="V24" i="70"/>
  <c r="U24" i="70"/>
  <c r="O24" i="70"/>
  <c r="N24" i="70"/>
  <c r="Q24" i="70" s="1"/>
  <c r="M24" i="70"/>
  <c r="AF24" i="70" s="1"/>
  <c r="K24" i="70"/>
  <c r="G24" i="70"/>
  <c r="V23" i="70"/>
  <c r="U23" i="70"/>
  <c r="O23" i="70"/>
  <c r="M23" i="70"/>
  <c r="AF23" i="70" s="1"/>
  <c r="K23" i="70"/>
  <c r="G23" i="70"/>
  <c r="V22" i="70"/>
  <c r="U22" i="70"/>
  <c r="O22" i="70"/>
  <c r="M22" i="70"/>
  <c r="AE22" i="70" s="1"/>
  <c r="K22" i="70"/>
  <c r="G22" i="70"/>
  <c r="AF21" i="70"/>
  <c r="AE21" i="70"/>
  <c r="V21" i="70"/>
  <c r="U21" i="70"/>
  <c r="O21" i="70"/>
  <c r="M21" i="70"/>
  <c r="N21" i="70" s="1"/>
  <c r="K21" i="70"/>
  <c r="G21" i="70"/>
  <c r="AF20" i="70"/>
  <c r="AE20" i="70"/>
  <c r="V20" i="70"/>
  <c r="O20" i="70"/>
  <c r="M20" i="70"/>
  <c r="M26" i="70" s="1"/>
  <c r="K20" i="70"/>
  <c r="G20" i="70"/>
  <c r="AD19" i="70"/>
  <c r="F21" i="69" s="1"/>
  <c r="Z19" i="70"/>
  <c r="Y19" i="70"/>
  <c r="O19" i="70"/>
  <c r="K19" i="70"/>
  <c r="F13" i="69" s="1"/>
  <c r="V18" i="70"/>
  <c r="M18" i="70" s="1"/>
  <c r="U18" i="70"/>
  <c r="O18" i="70"/>
  <c r="K18" i="70"/>
  <c r="G18" i="70"/>
  <c r="V17" i="70"/>
  <c r="M17" i="70" s="1"/>
  <c r="U17" i="70"/>
  <c r="O17" i="70"/>
  <c r="K17" i="70"/>
  <c r="G17" i="70"/>
  <c r="V16" i="70"/>
  <c r="M16" i="70" s="1"/>
  <c r="U16" i="70"/>
  <c r="O16" i="70"/>
  <c r="K16" i="70"/>
  <c r="G16" i="70"/>
  <c r="V15" i="70"/>
  <c r="M15" i="70" s="1"/>
  <c r="U15" i="70"/>
  <c r="O15" i="70"/>
  <c r="K15" i="70"/>
  <c r="G15" i="70"/>
  <c r="V14" i="70"/>
  <c r="M14" i="70" s="1"/>
  <c r="O14" i="70"/>
  <c r="K14" i="70"/>
  <c r="G14" i="70"/>
  <c r="AD13" i="70"/>
  <c r="E21" i="69" s="1"/>
  <c r="Z13" i="70"/>
  <c r="E19" i="69" s="1"/>
  <c r="Y13" i="70"/>
  <c r="E18" i="69" s="1"/>
  <c r="O13" i="70"/>
  <c r="K13" i="70"/>
  <c r="V12" i="70"/>
  <c r="U12" i="70"/>
  <c r="Q12" i="70"/>
  <c r="P12" i="70"/>
  <c r="O12" i="70"/>
  <c r="N12" i="70"/>
  <c r="M12" i="70"/>
  <c r="AF12" i="70" s="1"/>
  <c r="K12" i="70"/>
  <c r="G12" i="70"/>
  <c r="X11" i="70"/>
  <c r="W11" i="70"/>
  <c r="V11" i="70"/>
  <c r="M11" i="70" s="1"/>
  <c r="U11" i="70"/>
  <c r="O11" i="70"/>
  <c r="K11" i="70"/>
  <c r="G11" i="70"/>
  <c r="V10" i="70"/>
  <c r="U10" i="70"/>
  <c r="Q10" i="70"/>
  <c r="P10" i="70"/>
  <c r="O10" i="70"/>
  <c r="N10" i="70"/>
  <c r="M10" i="70"/>
  <c r="AF10" i="70" s="1"/>
  <c r="K10" i="70"/>
  <c r="G10" i="70"/>
  <c r="X9" i="70"/>
  <c r="W9" i="70"/>
  <c r="V9" i="70"/>
  <c r="M9" i="70" s="1"/>
  <c r="O9" i="70"/>
  <c r="K9" i="70"/>
  <c r="G9" i="70"/>
  <c r="AD8" i="70"/>
  <c r="AD2" i="70" s="1"/>
  <c r="N6" i="69" s="1"/>
  <c r="Z8" i="70"/>
  <c r="D19" i="69" s="1"/>
  <c r="Y8" i="70"/>
  <c r="Y2" i="70" s="1"/>
  <c r="K6" i="69" s="1"/>
  <c r="O8" i="70"/>
  <c r="K8" i="70"/>
  <c r="V7" i="70"/>
  <c r="U7" i="70"/>
  <c r="Q7" i="70"/>
  <c r="P7" i="70"/>
  <c r="O7" i="70"/>
  <c r="N7" i="70"/>
  <c r="M7" i="70"/>
  <c r="AF7" i="70" s="1"/>
  <c r="K7" i="70"/>
  <c r="G7" i="70"/>
  <c r="V6" i="70"/>
  <c r="U6" i="70"/>
  <c r="O6" i="70"/>
  <c r="N6" i="70"/>
  <c r="Q6" i="70" s="1"/>
  <c r="M6" i="70"/>
  <c r="AF6" i="70" s="1"/>
  <c r="K6" i="70"/>
  <c r="G6" i="70"/>
  <c r="V5" i="70"/>
  <c r="O5" i="70"/>
  <c r="N5" i="70"/>
  <c r="Q5" i="70" s="1"/>
  <c r="M5" i="70"/>
  <c r="M8" i="70" s="1"/>
  <c r="K5" i="70"/>
  <c r="G5" i="70"/>
  <c r="H2" i="70"/>
  <c r="H1" i="70"/>
  <c r="F1" i="70"/>
  <c r="F2" i="70" s="1"/>
  <c r="D1" i="70"/>
  <c r="M22" i="69"/>
  <c r="L22" i="69"/>
  <c r="K22" i="69"/>
  <c r="J22" i="69"/>
  <c r="I22" i="69"/>
  <c r="H22" i="69"/>
  <c r="G22" i="69"/>
  <c r="F22" i="69"/>
  <c r="E22" i="69"/>
  <c r="D22" i="69"/>
  <c r="M21" i="69"/>
  <c r="L21" i="69"/>
  <c r="J21" i="69"/>
  <c r="H21" i="69"/>
  <c r="M20" i="69"/>
  <c r="L20" i="69"/>
  <c r="K20" i="69"/>
  <c r="J20" i="69"/>
  <c r="I20" i="69"/>
  <c r="H20" i="69"/>
  <c r="G20" i="69"/>
  <c r="F20" i="69"/>
  <c r="E20" i="69"/>
  <c r="D20" i="69"/>
  <c r="M19" i="69"/>
  <c r="J19" i="69"/>
  <c r="I19" i="69"/>
  <c r="H19" i="69"/>
  <c r="G19" i="69"/>
  <c r="F19" i="69"/>
  <c r="L18" i="69"/>
  <c r="J18" i="69"/>
  <c r="H18" i="69"/>
  <c r="G18" i="69"/>
  <c r="F18" i="69"/>
  <c r="M17" i="69"/>
  <c r="L17" i="69"/>
  <c r="K17" i="69"/>
  <c r="J17" i="69"/>
  <c r="I17" i="69"/>
  <c r="H17" i="69"/>
  <c r="G17" i="69"/>
  <c r="F17" i="69"/>
  <c r="E17" i="69"/>
  <c r="D17" i="69"/>
  <c r="M16" i="69"/>
  <c r="L16" i="69"/>
  <c r="K16" i="69"/>
  <c r="J16" i="69"/>
  <c r="I16" i="69"/>
  <c r="H16" i="69"/>
  <c r="G16" i="69"/>
  <c r="F16" i="69"/>
  <c r="E16" i="69"/>
  <c r="D16" i="69"/>
  <c r="M13" i="69"/>
  <c r="L13" i="69"/>
  <c r="K13" i="69"/>
  <c r="I6" i="69" s="1"/>
  <c r="I13" i="69"/>
  <c r="H13" i="69"/>
  <c r="G13" i="69"/>
  <c r="E13" i="69"/>
  <c r="D13" i="69"/>
  <c r="M6" i="69"/>
  <c r="F3" i="69"/>
  <c r="C3" i="69"/>
  <c r="K15" i="77" l="1"/>
  <c r="I8" i="77" s="1"/>
  <c r="I7" i="77"/>
  <c r="E7" i="77"/>
  <c r="D15" i="77"/>
  <c r="G7" i="77"/>
  <c r="F7" i="77"/>
  <c r="Q67" i="72"/>
  <c r="R61" i="72" s="1"/>
  <c r="M14" i="71"/>
  <c r="M15" i="71" s="1"/>
  <c r="P67" i="72"/>
  <c r="Q54" i="72"/>
  <c r="R47" i="72" s="1"/>
  <c r="I14" i="71"/>
  <c r="I15" i="71" s="1"/>
  <c r="P54" i="72"/>
  <c r="D2" i="72"/>
  <c r="K14" i="71"/>
  <c r="Q33" i="72"/>
  <c r="R27" i="72" s="1"/>
  <c r="P33" i="72"/>
  <c r="F14" i="71"/>
  <c r="Q19" i="72"/>
  <c r="R14" i="72" s="1"/>
  <c r="P19" i="72"/>
  <c r="N56" i="70"/>
  <c r="AF56" i="70"/>
  <c r="AE56" i="70"/>
  <c r="Q21" i="70"/>
  <c r="P21" i="70"/>
  <c r="N38" i="70"/>
  <c r="AF38" i="70"/>
  <c r="AE38" i="70"/>
  <c r="AF30" i="70"/>
  <c r="AE30" i="70"/>
  <c r="N30" i="70"/>
  <c r="N55" i="70"/>
  <c r="AF55" i="70"/>
  <c r="M60" i="70"/>
  <c r="AE55" i="70"/>
  <c r="G6" i="69"/>
  <c r="F6" i="69"/>
  <c r="E6" i="69"/>
  <c r="N17" i="70"/>
  <c r="AF17" i="70"/>
  <c r="AE17" i="70"/>
  <c r="M33" i="70"/>
  <c r="AF27" i="70"/>
  <c r="AE27" i="70"/>
  <c r="N27" i="70"/>
  <c r="N34" i="70"/>
  <c r="AF34" i="70"/>
  <c r="M41" i="70"/>
  <c r="AE34" i="70"/>
  <c r="N36" i="70"/>
  <c r="AF36" i="70"/>
  <c r="AE36" i="70"/>
  <c r="N45" i="70"/>
  <c r="AF45" i="70"/>
  <c r="AE45" i="70"/>
  <c r="N62" i="70"/>
  <c r="AF62" i="70"/>
  <c r="AE62" i="70"/>
  <c r="AF11" i="70"/>
  <c r="AE11" i="70"/>
  <c r="N11" i="70"/>
  <c r="N43" i="70"/>
  <c r="AF43" i="70"/>
  <c r="AE43" i="70"/>
  <c r="AF53" i="70"/>
  <c r="AE53" i="70"/>
  <c r="N53" i="70"/>
  <c r="N58" i="70"/>
  <c r="AE58" i="70"/>
  <c r="AF58" i="70"/>
  <c r="AF32" i="70"/>
  <c r="AE32" i="70"/>
  <c r="N32" i="70"/>
  <c r="Q61" i="70"/>
  <c r="P61" i="70"/>
  <c r="Q63" i="70"/>
  <c r="P63" i="70"/>
  <c r="N8" i="70"/>
  <c r="AF8" i="70"/>
  <c r="AG5" i="70" s="1"/>
  <c r="AE8" i="70"/>
  <c r="N18" i="70"/>
  <c r="AE18" i="70"/>
  <c r="AF18" i="70"/>
  <c r="N37" i="70"/>
  <c r="AF37" i="70"/>
  <c r="AE37" i="70"/>
  <c r="N39" i="70"/>
  <c r="AF39" i="70"/>
  <c r="AE39" i="70"/>
  <c r="AF35" i="70"/>
  <c r="AE35" i="70"/>
  <c r="N35" i="70"/>
  <c r="N42" i="70"/>
  <c r="M46" i="70"/>
  <c r="AF42" i="70"/>
  <c r="AE42" i="70"/>
  <c r="N44" i="70"/>
  <c r="AE44" i="70"/>
  <c r="AF44" i="70"/>
  <c r="N59" i="70"/>
  <c r="AF59" i="70"/>
  <c r="AE59" i="70"/>
  <c r="N57" i="70"/>
  <c r="AF57" i="70"/>
  <c r="AE57" i="70"/>
  <c r="AF26" i="70"/>
  <c r="AG20" i="70" s="1"/>
  <c r="AE26" i="70"/>
  <c r="N26" i="70"/>
  <c r="N15" i="70"/>
  <c r="AF15" i="70"/>
  <c r="AE15" i="70"/>
  <c r="N16" i="70"/>
  <c r="AF16" i="70"/>
  <c r="AE16" i="70"/>
  <c r="N9" i="70"/>
  <c r="M13" i="70"/>
  <c r="AF9" i="70"/>
  <c r="AE9" i="70"/>
  <c r="N14" i="70"/>
  <c r="AF14" i="70"/>
  <c r="M19" i="70"/>
  <c r="AE14" i="70"/>
  <c r="N40" i="70"/>
  <c r="AF40" i="70"/>
  <c r="AE40" i="70"/>
  <c r="AF22" i="70"/>
  <c r="AF47" i="70"/>
  <c r="AF48" i="70"/>
  <c r="AF64" i="70"/>
  <c r="AE65" i="70"/>
  <c r="AF66" i="70"/>
  <c r="P5" i="70"/>
  <c r="P6" i="70"/>
  <c r="N23" i="70"/>
  <c r="P25" i="70"/>
  <c r="P28" i="70"/>
  <c r="N49" i="70"/>
  <c r="P51" i="70"/>
  <c r="N65" i="70"/>
  <c r="I3" i="69"/>
  <c r="D18" i="69"/>
  <c r="AE61" i="70"/>
  <c r="M67" i="70"/>
  <c r="N22" i="70"/>
  <c r="P24" i="70"/>
  <c r="N47" i="70"/>
  <c r="N48" i="70"/>
  <c r="P50" i="70"/>
  <c r="N64" i="70"/>
  <c r="N66" i="70"/>
  <c r="D21" i="69"/>
  <c r="N20" i="70"/>
  <c r="AE7" i="70"/>
  <c r="AE10" i="70"/>
  <c r="AE12" i="70"/>
  <c r="AE29" i="70"/>
  <c r="AE31" i="70"/>
  <c r="AE52" i="70"/>
  <c r="AE5" i="70"/>
  <c r="AE6" i="70"/>
  <c r="AE25" i="70"/>
  <c r="AE28" i="70"/>
  <c r="AE51" i="70"/>
  <c r="Z2" i="70"/>
  <c r="L6" i="69" s="1"/>
  <c r="AF5" i="70"/>
  <c r="AE24" i="70"/>
  <c r="AE50" i="70"/>
  <c r="M54" i="70"/>
  <c r="AE23" i="70"/>
  <c r="AE49" i="70"/>
  <c r="G8" i="77" l="1"/>
  <c r="F8" i="77"/>
  <c r="E8" i="77"/>
  <c r="K15" i="71"/>
  <c r="I8" i="71" s="1"/>
  <c r="I7" i="71"/>
  <c r="F15" i="71"/>
  <c r="E7" i="71"/>
  <c r="G7" i="71"/>
  <c r="F7" i="71"/>
  <c r="Q8" i="70"/>
  <c r="R5" i="70" s="1"/>
  <c r="P8" i="70"/>
  <c r="D14" i="69"/>
  <c r="N33" i="70"/>
  <c r="AF33" i="70"/>
  <c r="AG27" i="70" s="1"/>
  <c r="AE33" i="70"/>
  <c r="Q20" i="70"/>
  <c r="P20" i="70"/>
  <c r="Q58" i="70"/>
  <c r="P58" i="70"/>
  <c r="Q64" i="70"/>
  <c r="P64" i="70"/>
  <c r="Q49" i="70"/>
  <c r="P49" i="70"/>
  <c r="Q45" i="70"/>
  <c r="P45" i="70"/>
  <c r="P35" i="70"/>
  <c r="Q35" i="70"/>
  <c r="Q16" i="70"/>
  <c r="P16" i="70"/>
  <c r="Q59" i="70"/>
  <c r="P59" i="70"/>
  <c r="N13" i="70"/>
  <c r="AF13" i="70"/>
  <c r="AG9" i="70" s="1"/>
  <c r="AE13" i="70"/>
  <c r="Q9" i="70"/>
  <c r="P9" i="70"/>
  <c r="Q66" i="70"/>
  <c r="P66" i="70"/>
  <c r="Q48" i="70"/>
  <c r="P48" i="70"/>
  <c r="P40" i="70"/>
  <c r="Q40" i="70"/>
  <c r="Q39" i="70"/>
  <c r="P39" i="70"/>
  <c r="P17" i="70"/>
  <c r="Q17" i="70"/>
  <c r="Q62" i="70"/>
  <c r="P62" i="70"/>
  <c r="P30" i="70"/>
  <c r="Q30" i="70"/>
  <c r="Q47" i="70"/>
  <c r="P47" i="70"/>
  <c r="Q23" i="70"/>
  <c r="P23" i="70"/>
  <c r="P43" i="70"/>
  <c r="Q43" i="70"/>
  <c r="Q36" i="70"/>
  <c r="P36" i="70"/>
  <c r="P38" i="70"/>
  <c r="Q38" i="70"/>
  <c r="Q55" i="70"/>
  <c r="P55" i="70"/>
  <c r="Q65" i="70"/>
  <c r="P65" i="70"/>
  <c r="N19" i="70"/>
  <c r="AF19" i="70"/>
  <c r="AG14" i="70" s="1"/>
  <c r="AE19" i="70"/>
  <c r="Q15" i="70"/>
  <c r="P15" i="70"/>
  <c r="Q44" i="70"/>
  <c r="P44" i="70"/>
  <c r="P32" i="70"/>
  <c r="Q32" i="70"/>
  <c r="P11" i="70"/>
  <c r="Q11" i="70"/>
  <c r="P57" i="70"/>
  <c r="Q57" i="70"/>
  <c r="N54" i="70"/>
  <c r="AF54" i="70"/>
  <c r="AG47" i="70" s="1"/>
  <c r="AE54" i="70"/>
  <c r="Q22" i="70"/>
  <c r="P22" i="70"/>
  <c r="P26" i="70"/>
  <c r="G14" i="69"/>
  <c r="G15" i="69" s="1"/>
  <c r="Q26" i="70"/>
  <c r="R20" i="70" s="1"/>
  <c r="Q37" i="70"/>
  <c r="P37" i="70"/>
  <c r="N41" i="70"/>
  <c r="AE41" i="70"/>
  <c r="AF41" i="70"/>
  <c r="AG34" i="70" s="1"/>
  <c r="AF67" i="70"/>
  <c r="AG61" i="70" s="1"/>
  <c r="AE67" i="70"/>
  <c r="N67" i="70"/>
  <c r="Q14" i="70"/>
  <c r="P14" i="70"/>
  <c r="P53" i="70"/>
  <c r="Q53" i="70"/>
  <c r="N46" i="70"/>
  <c r="AF46" i="70"/>
  <c r="AG42" i="70" s="1"/>
  <c r="AE46" i="70"/>
  <c r="Q34" i="70"/>
  <c r="P34" i="70"/>
  <c r="N60" i="70"/>
  <c r="AF60" i="70"/>
  <c r="AG55" i="70" s="1"/>
  <c r="AE60" i="70"/>
  <c r="Q42" i="70"/>
  <c r="P42" i="70"/>
  <c r="Q18" i="70"/>
  <c r="P18" i="70"/>
  <c r="P27" i="70"/>
  <c r="Q27" i="70"/>
  <c r="Q56" i="70"/>
  <c r="P56" i="70"/>
  <c r="AD70" i="66"/>
  <c r="Z70" i="66"/>
  <c r="Y70" i="66"/>
  <c r="O70" i="66"/>
  <c r="K70" i="66"/>
  <c r="V69" i="66"/>
  <c r="M69" i="66" s="1"/>
  <c r="U69" i="66"/>
  <c r="O69" i="66"/>
  <c r="K69" i="66"/>
  <c r="G69" i="66"/>
  <c r="AF68" i="66"/>
  <c r="V68" i="66"/>
  <c r="U68" i="66"/>
  <c r="O68" i="66"/>
  <c r="M68" i="66"/>
  <c r="N68" i="66" s="1"/>
  <c r="K68" i="66"/>
  <c r="G68" i="66"/>
  <c r="X67" i="66"/>
  <c r="W67" i="66"/>
  <c r="V67" i="66"/>
  <c r="M67" i="66" s="1"/>
  <c r="U67" i="66"/>
  <c r="O67" i="66"/>
  <c r="K67" i="66"/>
  <c r="G67" i="66"/>
  <c r="AF66" i="66"/>
  <c r="V66" i="66"/>
  <c r="U66" i="66"/>
  <c r="O66" i="66"/>
  <c r="M66" i="66"/>
  <c r="N66" i="66" s="1"/>
  <c r="K66" i="66"/>
  <c r="G66" i="66"/>
  <c r="V65" i="66"/>
  <c r="M65" i="66" s="1"/>
  <c r="U65" i="66"/>
  <c r="O65" i="66"/>
  <c r="K65" i="66"/>
  <c r="G65" i="66"/>
  <c r="V64" i="66"/>
  <c r="M64" i="66" s="1"/>
  <c r="U64" i="66"/>
  <c r="O64" i="66"/>
  <c r="K64" i="66"/>
  <c r="G64" i="66"/>
  <c r="X63" i="66"/>
  <c r="W63" i="66"/>
  <c r="V63" i="66"/>
  <c r="O63" i="66"/>
  <c r="M63" i="66"/>
  <c r="N63" i="66" s="1"/>
  <c r="K63" i="66"/>
  <c r="G63" i="66"/>
  <c r="AD62" i="66"/>
  <c r="Z62" i="66"/>
  <c r="Y62" i="66"/>
  <c r="O62" i="66"/>
  <c r="K62" i="66"/>
  <c r="V61" i="66"/>
  <c r="M61" i="66" s="1"/>
  <c r="U61" i="66"/>
  <c r="O61" i="66"/>
  <c r="K61" i="66"/>
  <c r="G61" i="66"/>
  <c r="V60" i="66"/>
  <c r="M60" i="66" s="1"/>
  <c r="U60" i="66"/>
  <c r="O60" i="66"/>
  <c r="K60" i="66"/>
  <c r="G60" i="66"/>
  <c r="V59" i="66"/>
  <c r="M59" i="66" s="1"/>
  <c r="U59" i="66"/>
  <c r="O59" i="66"/>
  <c r="K59" i="66"/>
  <c r="G59" i="66"/>
  <c r="V58" i="66"/>
  <c r="U58" i="66"/>
  <c r="O58" i="66"/>
  <c r="M58" i="66"/>
  <c r="N58" i="66" s="1"/>
  <c r="K58" i="66"/>
  <c r="G58" i="66"/>
  <c r="V57" i="66"/>
  <c r="O57" i="66"/>
  <c r="M57" i="66"/>
  <c r="N57" i="66" s="1"/>
  <c r="K57" i="66"/>
  <c r="G57" i="66"/>
  <c r="AD56" i="66"/>
  <c r="Z56" i="66"/>
  <c r="Y56" i="66"/>
  <c r="O56" i="66"/>
  <c r="K56" i="66"/>
  <c r="V55" i="66"/>
  <c r="U55" i="66"/>
  <c r="O55" i="66"/>
  <c r="N55" i="66"/>
  <c r="Q55" i="66" s="1"/>
  <c r="M55" i="66"/>
  <c r="AF55" i="66" s="1"/>
  <c r="K55" i="66"/>
  <c r="G55" i="66"/>
  <c r="V54" i="66"/>
  <c r="U54" i="66"/>
  <c r="O54" i="66"/>
  <c r="M54" i="66"/>
  <c r="AF54" i="66" s="1"/>
  <c r="K54" i="66"/>
  <c r="G54" i="66"/>
  <c r="AF53" i="66"/>
  <c r="V53" i="66"/>
  <c r="U53" i="66"/>
  <c r="O53" i="66"/>
  <c r="N53" i="66"/>
  <c r="M53" i="66"/>
  <c r="AE53" i="66" s="1"/>
  <c r="K53" i="66"/>
  <c r="Q53" i="66" s="1"/>
  <c r="G53" i="66"/>
  <c r="AE52" i="66"/>
  <c r="V52" i="66"/>
  <c r="U52" i="66"/>
  <c r="O52" i="66"/>
  <c r="M52" i="66"/>
  <c r="AF52" i="66" s="1"/>
  <c r="K52" i="66"/>
  <c r="G52" i="66"/>
  <c r="V51" i="66"/>
  <c r="M51" i="66" s="1"/>
  <c r="U51" i="66"/>
  <c r="O51" i="66"/>
  <c r="K51" i="66"/>
  <c r="G51" i="66"/>
  <c r="AF50" i="66"/>
  <c r="V50" i="66"/>
  <c r="U50" i="66"/>
  <c r="O50" i="66"/>
  <c r="M50" i="66"/>
  <c r="N50" i="66" s="1"/>
  <c r="K50" i="66"/>
  <c r="G50" i="66"/>
  <c r="AF49" i="66"/>
  <c r="V49" i="66"/>
  <c r="O49" i="66"/>
  <c r="M49" i="66"/>
  <c r="M56" i="66" s="1"/>
  <c r="K49" i="66"/>
  <c r="G49" i="66"/>
  <c r="AD48" i="66"/>
  <c r="Z48" i="66"/>
  <c r="Y48" i="66"/>
  <c r="O48" i="66"/>
  <c r="K48" i="66"/>
  <c r="V47" i="66"/>
  <c r="M47" i="66" s="1"/>
  <c r="U47" i="66"/>
  <c r="O47" i="66"/>
  <c r="K47" i="66"/>
  <c r="G47" i="66"/>
  <c r="V46" i="66"/>
  <c r="M46" i="66" s="1"/>
  <c r="U46" i="66"/>
  <c r="O46" i="66"/>
  <c r="K46" i="66"/>
  <c r="G46" i="66"/>
  <c r="V45" i="66"/>
  <c r="M45" i="66" s="1"/>
  <c r="U45" i="66"/>
  <c r="O45" i="66"/>
  <c r="K45" i="66"/>
  <c r="G45" i="66"/>
  <c r="X44" i="66"/>
  <c r="W44" i="66"/>
  <c r="V44" i="66"/>
  <c r="M44" i="66" s="1"/>
  <c r="O44" i="66"/>
  <c r="K44" i="66"/>
  <c r="G44" i="66"/>
  <c r="AD43" i="66"/>
  <c r="Z43" i="66"/>
  <c r="L19" i="65" s="1"/>
  <c r="Y43" i="66"/>
  <c r="O43" i="66"/>
  <c r="K43" i="66"/>
  <c r="V42" i="66"/>
  <c r="M42" i="66" s="1"/>
  <c r="U42" i="66"/>
  <c r="O42" i="66"/>
  <c r="K42" i="66"/>
  <c r="G42" i="66"/>
  <c r="AE41" i="66"/>
  <c r="V41" i="66"/>
  <c r="U41" i="66"/>
  <c r="O41" i="66"/>
  <c r="M41" i="66"/>
  <c r="N41" i="66" s="1"/>
  <c r="K41" i="66"/>
  <c r="G41" i="66"/>
  <c r="V40" i="66"/>
  <c r="M40" i="66" s="1"/>
  <c r="U40" i="66"/>
  <c r="O40" i="66"/>
  <c r="K40" i="66"/>
  <c r="G40" i="66"/>
  <c r="X39" i="66"/>
  <c r="W39" i="66"/>
  <c r="V39" i="66"/>
  <c r="U39" i="66"/>
  <c r="O39" i="66"/>
  <c r="M39" i="66"/>
  <c r="N39" i="66" s="1"/>
  <c r="K39" i="66"/>
  <c r="G39" i="66"/>
  <c r="V38" i="66"/>
  <c r="M38" i="66" s="1"/>
  <c r="U38" i="66"/>
  <c r="O38" i="66"/>
  <c r="K38" i="66"/>
  <c r="G38" i="66"/>
  <c r="V37" i="66"/>
  <c r="M37" i="66" s="1"/>
  <c r="U37" i="66"/>
  <c r="O37" i="66"/>
  <c r="K37" i="66"/>
  <c r="G37" i="66"/>
  <c r="V36" i="66"/>
  <c r="U36" i="66"/>
  <c r="O36" i="66"/>
  <c r="M36" i="66"/>
  <c r="AF36" i="66" s="1"/>
  <c r="K36" i="66"/>
  <c r="G36" i="66"/>
  <c r="X35" i="66"/>
  <c r="W35" i="66"/>
  <c r="V35" i="66"/>
  <c r="M35" i="66" s="1"/>
  <c r="O35" i="66"/>
  <c r="K35" i="66"/>
  <c r="G35" i="66"/>
  <c r="AD34" i="66"/>
  <c r="Z34" i="66"/>
  <c r="Y34" i="66"/>
  <c r="O34" i="66"/>
  <c r="K34" i="66"/>
  <c r="V33" i="66"/>
  <c r="U33" i="66"/>
  <c r="O33" i="66"/>
  <c r="M33" i="66"/>
  <c r="AF33" i="66" s="1"/>
  <c r="K33" i="66"/>
  <c r="G33" i="66"/>
  <c r="AF32" i="66"/>
  <c r="V32" i="66"/>
  <c r="U32" i="66"/>
  <c r="O32" i="66"/>
  <c r="N32" i="66"/>
  <c r="M32" i="66"/>
  <c r="AE32" i="66" s="1"/>
  <c r="K32" i="66"/>
  <c r="Q32" i="66" s="1"/>
  <c r="G32" i="66"/>
  <c r="X31" i="66"/>
  <c r="W31" i="66"/>
  <c r="V31" i="66"/>
  <c r="U31" i="66"/>
  <c r="O31" i="66"/>
  <c r="M31" i="66"/>
  <c r="AF31" i="66" s="1"/>
  <c r="K31" i="66"/>
  <c r="G31" i="66"/>
  <c r="AF30" i="66"/>
  <c r="V30" i="66"/>
  <c r="U30" i="66"/>
  <c r="O30" i="66"/>
  <c r="N30" i="66"/>
  <c r="M30" i="66"/>
  <c r="AE30" i="66" s="1"/>
  <c r="K30" i="66"/>
  <c r="Q30" i="66" s="1"/>
  <c r="G30" i="66"/>
  <c r="AE29" i="66"/>
  <c r="V29" i="66"/>
  <c r="U29" i="66"/>
  <c r="O29" i="66"/>
  <c r="M29" i="66"/>
  <c r="AF29" i="66" s="1"/>
  <c r="K29" i="66"/>
  <c r="G29" i="66"/>
  <c r="X28" i="66"/>
  <c r="W28" i="66"/>
  <c r="V28" i="66"/>
  <c r="O28" i="66"/>
  <c r="M28" i="66"/>
  <c r="M34" i="66" s="1"/>
  <c r="K28" i="66"/>
  <c r="G28" i="66"/>
  <c r="AD27" i="66"/>
  <c r="Z27" i="66"/>
  <c r="Y27" i="66"/>
  <c r="O27" i="66"/>
  <c r="K27" i="66"/>
  <c r="AE26" i="66"/>
  <c r="V26" i="66"/>
  <c r="U26" i="66"/>
  <c r="O26" i="66"/>
  <c r="M26" i="66"/>
  <c r="AF26" i="66" s="1"/>
  <c r="K26" i="66"/>
  <c r="G26" i="66"/>
  <c r="V25" i="66"/>
  <c r="M25" i="66" s="1"/>
  <c r="U25" i="66"/>
  <c r="O25" i="66"/>
  <c r="K25" i="66"/>
  <c r="G25" i="66"/>
  <c r="AF24" i="66"/>
  <c r="V24" i="66"/>
  <c r="U24" i="66"/>
  <c r="O24" i="66"/>
  <c r="M24" i="66"/>
  <c r="N24" i="66" s="1"/>
  <c r="K24" i="66"/>
  <c r="G24" i="66"/>
  <c r="AE23" i="66"/>
  <c r="V23" i="66"/>
  <c r="U23" i="66"/>
  <c r="O23" i="66"/>
  <c r="M23" i="66"/>
  <c r="N23" i="66" s="1"/>
  <c r="K23" i="66"/>
  <c r="G23" i="66"/>
  <c r="V22" i="66"/>
  <c r="M22" i="66" s="1"/>
  <c r="U22" i="66"/>
  <c r="O22" i="66"/>
  <c r="K22" i="66"/>
  <c r="G22" i="66"/>
  <c r="V21" i="66"/>
  <c r="M21" i="66" s="1"/>
  <c r="O21" i="66"/>
  <c r="K21" i="66"/>
  <c r="G21" i="66"/>
  <c r="AD20" i="66"/>
  <c r="Z20" i="66"/>
  <c r="F19" i="65" s="1"/>
  <c r="Y20" i="66"/>
  <c r="O20" i="66"/>
  <c r="K20" i="66"/>
  <c r="V19" i="66"/>
  <c r="M19" i="66" s="1"/>
  <c r="U19" i="66"/>
  <c r="O19" i="66"/>
  <c r="K19" i="66"/>
  <c r="G19" i="66"/>
  <c r="AE18" i="66"/>
  <c r="V18" i="66"/>
  <c r="U18" i="66"/>
  <c r="O18" i="66"/>
  <c r="M18" i="66"/>
  <c r="N18" i="66" s="1"/>
  <c r="K18" i="66"/>
  <c r="G18" i="66"/>
  <c r="V17" i="66"/>
  <c r="M17" i="66" s="1"/>
  <c r="U17" i="66"/>
  <c r="O17" i="66"/>
  <c r="K17" i="66"/>
  <c r="G17" i="66"/>
  <c r="V16" i="66"/>
  <c r="M16" i="66" s="1"/>
  <c r="U16" i="66"/>
  <c r="O16" i="66"/>
  <c r="K16" i="66"/>
  <c r="G16" i="66"/>
  <c r="V15" i="66"/>
  <c r="M15" i="66" s="1"/>
  <c r="O15" i="66"/>
  <c r="K15" i="66"/>
  <c r="G15" i="66"/>
  <c r="AD14" i="66"/>
  <c r="Z14" i="66"/>
  <c r="Y14" i="66"/>
  <c r="O14" i="66"/>
  <c r="K14" i="66"/>
  <c r="AF13" i="66"/>
  <c r="V13" i="66"/>
  <c r="U13" i="66"/>
  <c r="O13" i="66"/>
  <c r="N13" i="66"/>
  <c r="Q13" i="66" s="1"/>
  <c r="M13" i="66"/>
  <c r="AE13" i="66" s="1"/>
  <c r="K13" i="66"/>
  <c r="P13" i="66" s="1"/>
  <c r="G13" i="66"/>
  <c r="AE12" i="66"/>
  <c r="V12" i="66"/>
  <c r="U12" i="66"/>
  <c r="O12" i="66"/>
  <c r="M12" i="66"/>
  <c r="AF12" i="66" s="1"/>
  <c r="K12" i="66"/>
  <c r="G12" i="66"/>
  <c r="AF11" i="66"/>
  <c r="X11" i="66"/>
  <c r="W11" i="66"/>
  <c r="V11" i="66"/>
  <c r="U11" i="66"/>
  <c r="O11" i="66"/>
  <c r="N11" i="66"/>
  <c r="Q11" i="66" s="1"/>
  <c r="M11" i="66"/>
  <c r="AE11" i="66" s="1"/>
  <c r="K11" i="66"/>
  <c r="P11" i="66" s="1"/>
  <c r="G11" i="66"/>
  <c r="AE10" i="66"/>
  <c r="V10" i="66"/>
  <c r="U10" i="66"/>
  <c r="O10" i="66"/>
  <c r="M10" i="66"/>
  <c r="AF10" i="66" s="1"/>
  <c r="K10" i="66"/>
  <c r="G10" i="66"/>
  <c r="X9" i="66"/>
  <c r="W9" i="66"/>
  <c r="V9" i="66"/>
  <c r="O9" i="66"/>
  <c r="M9" i="66"/>
  <c r="AF9" i="66" s="1"/>
  <c r="K9" i="66"/>
  <c r="G9" i="66"/>
  <c r="AD8" i="66"/>
  <c r="Z8" i="66"/>
  <c r="Z2" i="66" s="1"/>
  <c r="L6" i="65" s="1"/>
  <c r="Y8" i="66"/>
  <c r="O8" i="66"/>
  <c r="K8" i="66"/>
  <c r="AE7" i="66"/>
  <c r="V7" i="66"/>
  <c r="U7" i="66"/>
  <c r="O7" i="66"/>
  <c r="M7" i="66"/>
  <c r="AF7" i="66" s="1"/>
  <c r="K7" i="66"/>
  <c r="G7" i="66"/>
  <c r="F1" i="66" s="1"/>
  <c r="V6" i="66"/>
  <c r="M6" i="66" s="1"/>
  <c r="U6" i="66"/>
  <c r="O6" i="66"/>
  <c r="K6" i="66"/>
  <c r="G6" i="66"/>
  <c r="V5" i="66"/>
  <c r="M5" i="66" s="1"/>
  <c r="O5" i="66"/>
  <c r="K5" i="66"/>
  <c r="G5" i="66"/>
  <c r="AD2" i="66"/>
  <c r="AC2" i="66"/>
  <c r="Y2" i="66"/>
  <c r="H2" i="66"/>
  <c r="H1" i="66"/>
  <c r="D1" i="66"/>
  <c r="M22" i="65"/>
  <c r="L22" i="65"/>
  <c r="K22" i="65"/>
  <c r="J22" i="65"/>
  <c r="I22" i="65"/>
  <c r="H22" i="65"/>
  <c r="G22" i="65"/>
  <c r="F22" i="65"/>
  <c r="E22" i="65"/>
  <c r="D22" i="65"/>
  <c r="M21" i="65"/>
  <c r="L21" i="65"/>
  <c r="K21" i="65"/>
  <c r="J21" i="65"/>
  <c r="I21" i="65"/>
  <c r="H21" i="65"/>
  <c r="G21" i="65"/>
  <c r="F21" i="65"/>
  <c r="E21" i="65"/>
  <c r="D21" i="65"/>
  <c r="M20" i="65"/>
  <c r="L20" i="65"/>
  <c r="K20" i="65"/>
  <c r="J20" i="65"/>
  <c r="I20" i="65"/>
  <c r="H20" i="65"/>
  <c r="G20" i="65"/>
  <c r="F20" i="65"/>
  <c r="E20" i="65"/>
  <c r="D20" i="65"/>
  <c r="M19" i="65"/>
  <c r="K19" i="65"/>
  <c r="J19" i="65"/>
  <c r="I19" i="65"/>
  <c r="H19" i="65"/>
  <c r="G19" i="65"/>
  <c r="E19" i="65"/>
  <c r="D19" i="65"/>
  <c r="M18" i="65"/>
  <c r="L18" i="65"/>
  <c r="K18" i="65"/>
  <c r="J18" i="65"/>
  <c r="I18" i="65"/>
  <c r="H18" i="65"/>
  <c r="G18" i="65"/>
  <c r="F18" i="65"/>
  <c r="E18" i="65"/>
  <c r="D18" i="65"/>
  <c r="M17" i="65"/>
  <c r="L17" i="65"/>
  <c r="K17" i="65"/>
  <c r="J17" i="65"/>
  <c r="I17" i="65"/>
  <c r="H17" i="65"/>
  <c r="G17" i="65"/>
  <c r="F17" i="65"/>
  <c r="E17" i="65"/>
  <c r="D17" i="65"/>
  <c r="M16" i="65"/>
  <c r="L16" i="65"/>
  <c r="K16" i="65"/>
  <c r="J16" i="65"/>
  <c r="I16" i="65"/>
  <c r="H16" i="65"/>
  <c r="G16" i="65"/>
  <c r="F16" i="65"/>
  <c r="E16" i="65"/>
  <c r="D16" i="65"/>
  <c r="M13" i="65"/>
  <c r="L13" i="65"/>
  <c r="K13" i="65"/>
  <c r="I6" i="65" s="1"/>
  <c r="J13" i="65"/>
  <c r="I13" i="65"/>
  <c r="H13" i="65"/>
  <c r="G6" i="65" s="1"/>
  <c r="G13" i="65"/>
  <c r="F13" i="65"/>
  <c r="E13" i="65"/>
  <c r="D13" i="65"/>
  <c r="N6" i="65"/>
  <c r="M6" i="65"/>
  <c r="K6" i="65"/>
  <c r="F3" i="65"/>
  <c r="C3" i="65"/>
  <c r="F8" i="71" l="1"/>
  <c r="E8" i="71"/>
  <c r="G8" i="71"/>
  <c r="Q13" i="70"/>
  <c r="R9" i="70" s="1"/>
  <c r="P13" i="70"/>
  <c r="E14" i="69"/>
  <c r="E15" i="69" s="1"/>
  <c r="Q54" i="70"/>
  <c r="R47" i="70" s="1"/>
  <c r="I14" i="69"/>
  <c r="I15" i="69" s="1"/>
  <c r="P54" i="70"/>
  <c r="Q19" i="70"/>
  <c r="R14" i="70" s="1"/>
  <c r="P19" i="70"/>
  <c r="F14" i="69"/>
  <c r="F15" i="69" s="1"/>
  <c r="Q41" i="70"/>
  <c r="R34" i="70" s="1"/>
  <c r="P41" i="70"/>
  <c r="L14" i="69"/>
  <c r="L15" i="69" s="1"/>
  <c r="Q46" i="70"/>
  <c r="R42" i="70" s="1"/>
  <c r="P46" i="70"/>
  <c r="H14" i="69"/>
  <c r="H15" i="69" s="1"/>
  <c r="Q33" i="70"/>
  <c r="R27" i="70" s="1"/>
  <c r="P33" i="70"/>
  <c r="K14" i="69"/>
  <c r="D15" i="69"/>
  <c r="Q60" i="70"/>
  <c r="R55" i="70" s="1"/>
  <c r="P60" i="70"/>
  <c r="J14" i="69"/>
  <c r="J15" i="69" s="1"/>
  <c r="Q67" i="70"/>
  <c r="R61" i="70" s="1"/>
  <c r="P67" i="70"/>
  <c r="M14" i="69"/>
  <c r="M15" i="69" s="1"/>
  <c r="D2" i="70"/>
  <c r="N19" i="66"/>
  <c r="AF19" i="66"/>
  <c r="AE19" i="66"/>
  <c r="Q41" i="66"/>
  <c r="P41" i="66"/>
  <c r="F2" i="66"/>
  <c r="I3" i="65"/>
  <c r="Q18" i="66"/>
  <c r="P18" i="66"/>
  <c r="AF37" i="66"/>
  <c r="AE37" i="66"/>
  <c r="N37" i="66"/>
  <c r="Q58" i="66"/>
  <c r="P58" i="66"/>
  <c r="N60" i="66"/>
  <c r="AF60" i="66"/>
  <c r="AE60" i="66"/>
  <c r="Q23" i="66"/>
  <c r="P23" i="66"/>
  <c r="Q63" i="66"/>
  <c r="P63" i="66"/>
  <c r="AF17" i="66"/>
  <c r="AE17" i="66"/>
  <c r="N17" i="66"/>
  <c r="N46" i="66"/>
  <c r="AF46" i="66"/>
  <c r="AE46" i="66"/>
  <c r="AF16" i="66"/>
  <c r="AE16" i="66"/>
  <c r="N16" i="66"/>
  <c r="N56" i="66"/>
  <c r="AF56" i="66"/>
  <c r="AG49" i="66" s="1"/>
  <c r="AE56" i="66"/>
  <c r="N65" i="66"/>
  <c r="AF65" i="66"/>
  <c r="AE65" i="66"/>
  <c r="N67" i="66"/>
  <c r="AF67" i="66"/>
  <c r="AE67" i="66"/>
  <c r="AF38" i="66"/>
  <c r="AE38" i="66"/>
  <c r="N38" i="66"/>
  <c r="AF34" i="66"/>
  <c r="AG28" i="66" s="1"/>
  <c r="AE34" i="66"/>
  <c r="N34" i="66"/>
  <c r="Q68" i="66"/>
  <c r="P68" i="66"/>
  <c r="AE5" i="66"/>
  <c r="N5" i="66"/>
  <c r="M8" i="66"/>
  <c r="AF5" i="66"/>
  <c r="N21" i="66"/>
  <c r="AF21" i="66"/>
  <c r="AE21" i="66"/>
  <c r="M27" i="66"/>
  <c r="AE25" i="66"/>
  <c r="N25" i="66"/>
  <c r="AF25" i="66"/>
  <c r="AF40" i="66"/>
  <c r="AE40" i="66"/>
  <c r="N40" i="66"/>
  <c r="N42" i="66"/>
  <c r="AF42" i="66"/>
  <c r="AE42" i="66"/>
  <c r="N61" i="66"/>
  <c r="AF61" i="66"/>
  <c r="AE61" i="66"/>
  <c r="AE69" i="66"/>
  <c r="N69" i="66"/>
  <c r="AF69" i="66"/>
  <c r="Q24" i="66"/>
  <c r="P24" i="66"/>
  <c r="AE51" i="66"/>
  <c r="N51" i="66"/>
  <c r="AF51" i="66"/>
  <c r="Q57" i="66"/>
  <c r="P57" i="66"/>
  <c r="Q66" i="66"/>
  <c r="P66" i="66"/>
  <c r="N44" i="66"/>
  <c r="M48" i="66"/>
  <c r="AF44" i="66"/>
  <c r="AE44" i="66"/>
  <c r="Q39" i="66"/>
  <c r="P39" i="66"/>
  <c r="N47" i="66"/>
  <c r="AF47" i="66"/>
  <c r="AE47" i="66"/>
  <c r="N59" i="66"/>
  <c r="AF59" i="66"/>
  <c r="AE59" i="66"/>
  <c r="N45" i="66"/>
  <c r="AF45" i="66"/>
  <c r="AE45" i="66"/>
  <c r="Q50" i="66"/>
  <c r="P50" i="66"/>
  <c r="AE6" i="66"/>
  <c r="N6" i="66"/>
  <c r="AF6" i="66"/>
  <c r="AF15" i="66"/>
  <c r="M20" i="66"/>
  <c r="AE15" i="66"/>
  <c r="N15" i="66"/>
  <c r="N22" i="66"/>
  <c r="AF22" i="66"/>
  <c r="AE22" i="66"/>
  <c r="AF35" i="66"/>
  <c r="AE35" i="66"/>
  <c r="M43" i="66"/>
  <c r="N35" i="66"/>
  <c r="N64" i="66"/>
  <c r="AF64" i="66"/>
  <c r="AE64" i="66"/>
  <c r="M14" i="66"/>
  <c r="AE24" i="66"/>
  <c r="AE49" i="66"/>
  <c r="AE50" i="66"/>
  <c r="AE66" i="66"/>
  <c r="AE68" i="66"/>
  <c r="N9" i="66"/>
  <c r="AF23" i="66"/>
  <c r="N28" i="66"/>
  <c r="N31" i="66"/>
  <c r="N33" i="66"/>
  <c r="N36" i="66"/>
  <c r="N54" i="66"/>
  <c r="AE63" i="66"/>
  <c r="M70" i="66"/>
  <c r="E6" i="65"/>
  <c r="F6" i="65"/>
  <c r="P55" i="66"/>
  <c r="AF63" i="66"/>
  <c r="N7" i="66"/>
  <c r="N10" i="66"/>
  <c r="N12" i="66"/>
  <c r="N26" i="66"/>
  <c r="N29" i="66"/>
  <c r="N52" i="66"/>
  <c r="P30" i="66"/>
  <c r="P32" i="66"/>
  <c r="P53" i="66"/>
  <c r="AE57" i="66"/>
  <c r="AE58" i="66"/>
  <c r="M62" i="66"/>
  <c r="AF18" i="66"/>
  <c r="AF41" i="66"/>
  <c r="N49" i="66"/>
  <c r="AF57" i="66"/>
  <c r="AF58" i="66"/>
  <c r="AE39" i="66"/>
  <c r="AE55" i="66"/>
  <c r="AE33" i="66"/>
  <c r="AE36" i="66"/>
  <c r="AF39" i="66"/>
  <c r="AE54" i="66"/>
  <c r="AE9" i="66"/>
  <c r="AE28" i="66"/>
  <c r="AE31" i="66"/>
  <c r="AF28" i="66"/>
  <c r="AD70" i="64"/>
  <c r="Z70" i="64"/>
  <c r="M19" i="63" s="1"/>
  <c r="Y70" i="64"/>
  <c r="O70" i="64"/>
  <c r="K70" i="64"/>
  <c r="AF69" i="64"/>
  <c r="V69" i="64"/>
  <c r="U69" i="64"/>
  <c r="O69" i="64"/>
  <c r="M69" i="64"/>
  <c r="AE69" i="64" s="1"/>
  <c r="K69" i="64"/>
  <c r="G69" i="64"/>
  <c r="AE68" i="64"/>
  <c r="V68" i="64"/>
  <c r="U68" i="64"/>
  <c r="O68" i="64"/>
  <c r="M68" i="64"/>
  <c r="N68" i="64" s="1"/>
  <c r="K68" i="64"/>
  <c r="G68" i="64"/>
  <c r="V67" i="64"/>
  <c r="M67" i="64" s="1"/>
  <c r="U67" i="64"/>
  <c r="O67" i="64"/>
  <c r="K67" i="64"/>
  <c r="G67" i="64"/>
  <c r="AF66" i="64"/>
  <c r="AE66" i="64"/>
  <c r="X66" i="64"/>
  <c r="W66" i="64"/>
  <c r="V66" i="64"/>
  <c r="U66" i="64"/>
  <c r="O66" i="64"/>
  <c r="M66" i="64"/>
  <c r="N66" i="64" s="1"/>
  <c r="K66" i="64"/>
  <c r="G66" i="64"/>
  <c r="V65" i="64"/>
  <c r="M65" i="64" s="1"/>
  <c r="U65" i="64"/>
  <c r="O65" i="64"/>
  <c r="K65" i="64"/>
  <c r="G65" i="64"/>
  <c r="AF64" i="64"/>
  <c r="AE64" i="64"/>
  <c r="V64" i="64"/>
  <c r="U64" i="64"/>
  <c r="O64" i="64"/>
  <c r="M64" i="64"/>
  <c r="N64" i="64" s="1"/>
  <c r="K64" i="64"/>
  <c r="G64" i="64"/>
  <c r="V63" i="64"/>
  <c r="M63" i="64" s="1"/>
  <c r="U63" i="64"/>
  <c r="O63" i="64"/>
  <c r="K63" i="64"/>
  <c r="G63" i="64"/>
  <c r="X62" i="64"/>
  <c r="W62" i="64"/>
  <c r="V62" i="64"/>
  <c r="M62" i="64" s="1"/>
  <c r="O62" i="64"/>
  <c r="K62" i="64"/>
  <c r="G62" i="64"/>
  <c r="AD61" i="64"/>
  <c r="Z61" i="64"/>
  <c r="J19" i="63" s="1"/>
  <c r="Y61" i="64"/>
  <c r="O61" i="64"/>
  <c r="K61" i="64"/>
  <c r="V60" i="64"/>
  <c r="M60" i="64" s="1"/>
  <c r="U60" i="64"/>
  <c r="O60" i="64"/>
  <c r="K60" i="64"/>
  <c r="G60" i="64"/>
  <c r="V59" i="64"/>
  <c r="M59" i="64" s="1"/>
  <c r="U59" i="64"/>
  <c r="O59" i="64"/>
  <c r="K59" i="64"/>
  <c r="G59" i="64"/>
  <c r="V58" i="64"/>
  <c r="M58" i="64" s="1"/>
  <c r="U58" i="64"/>
  <c r="O58" i="64"/>
  <c r="K58" i="64"/>
  <c r="G58" i="64"/>
  <c r="V57" i="64"/>
  <c r="M57" i="64" s="1"/>
  <c r="U57" i="64"/>
  <c r="O57" i="64"/>
  <c r="K57" i="64"/>
  <c r="G57" i="64"/>
  <c r="V56" i="64"/>
  <c r="M56" i="64" s="1"/>
  <c r="O56" i="64"/>
  <c r="K56" i="64"/>
  <c r="G56" i="64"/>
  <c r="AD55" i="64"/>
  <c r="Z55" i="64"/>
  <c r="I19" i="63" s="1"/>
  <c r="Y55" i="64"/>
  <c r="I18" i="63" s="1"/>
  <c r="O55" i="64"/>
  <c r="K55" i="64"/>
  <c r="V54" i="64"/>
  <c r="M54" i="64" s="1"/>
  <c r="U54" i="64"/>
  <c r="O54" i="64"/>
  <c r="K54" i="64"/>
  <c r="G54" i="64"/>
  <c r="V53" i="64"/>
  <c r="U53" i="64"/>
  <c r="O53" i="64"/>
  <c r="N53" i="64"/>
  <c r="Q53" i="64" s="1"/>
  <c r="M53" i="64"/>
  <c r="AF53" i="64" s="1"/>
  <c r="K53" i="64"/>
  <c r="G53" i="64"/>
  <c r="V52" i="64"/>
  <c r="U52" i="64"/>
  <c r="O52" i="64"/>
  <c r="M52" i="64"/>
  <c r="AF52" i="64" s="1"/>
  <c r="K52" i="64"/>
  <c r="G52" i="64"/>
  <c r="AF51" i="64"/>
  <c r="V51" i="64"/>
  <c r="U51" i="64"/>
  <c r="O51" i="64"/>
  <c r="N51" i="64"/>
  <c r="Q51" i="64" s="1"/>
  <c r="M51" i="64"/>
  <c r="AE51" i="64" s="1"/>
  <c r="K51" i="64"/>
  <c r="G51" i="64"/>
  <c r="AE50" i="64"/>
  <c r="V50" i="64"/>
  <c r="U50" i="64"/>
  <c r="O50" i="64"/>
  <c r="M50" i="64"/>
  <c r="N50" i="64" s="1"/>
  <c r="K50" i="64"/>
  <c r="G50" i="64"/>
  <c r="V49" i="64"/>
  <c r="M49" i="64" s="1"/>
  <c r="U49" i="64"/>
  <c r="O49" i="64"/>
  <c r="K49" i="64"/>
  <c r="G49" i="64"/>
  <c r="V48" i="64"/>
  <c r="M48" i="64" s="1"/>
  <c r="O48" i="64"/>
  <c r="K48" i="64"/>
  <c r="G48" i="64"/>
  <c r="AD47" i="64"/>
  <c r="Z47" i="64"/>
  <c r="Y47" i="64"/>
  <c r="O47" i="64"/>
  <c r="K47" i="64"/>
  <c r="V46" i="64"/>
  <c r="M46" i="64" s="1"/>
  <c r="U46" i="64"/>
  <c r="O46" i="64"/>
  <c r="K46" i="64"/>
  <c r="G46" i="64"/>
  <c r="V45" i="64"/>
  <c r="M45" i="64" s="1"/>
  <c r="U45" i="64"/>
  <c r="O45" i="64"/>
  <c r="K45" i="64"/>
  <c r="G45" i="64"/>
  <c r="V44" i="64"/>
  <c r="M44" i="64" s="1"/>
  <c r="U44" i="64"/>
  <c r="O44" i="64"/>
  <c r="K44" i="64"/>
  <c r="G44" i="64"/>
  <c r="X43" i="64"/>
  <c r="W43" i="64"/>
  <c r="V43" i="64"/>
  <c r="M43" i="64" s="1"/>
  <c r="O43" i="64"/>
  <c r="K43" i="64"/>
  <c r="G43" i="64"/>
  <c r="AD42" i="64"/>
  <c r="L21" i="63" s="1"/>
  <c r="Z42" i="64"/>
  <c r="L19" i="63" s="1"/>
  <c r="Y42" i="64"/>
  <c r="O42" i="64"/>
  <c r="K42" i="64"/>
  <c r="V41" i="64"/>
  <c r="M41" i="64" s="1"/>
  <c r="U41" i="64"/>
  <c r="O41" i="64"/>
  <c r="K41" i="64"/>
  <c r="G41" i="64"/>
  <c r="V40" i="64"/>
  <c r="M40" i="64" s="1"/>
  <c r="U40" i="64"/>
  <c r="O40" i="64"/>
  <c r="K40" i="64"/>
  <c r="G40" i="64"/>
  <c r="V39" i="64"/>
  <c r="U39" i="64"/>
  <c r="O39" i="64"/>
  <c r="M39" i="64"/>
  <c r="AF39" i="64" s="1"/>
  <c r="K39" i="64"/>
  <c r="G39" i="64"/>
  <c r="X38" i="64"/>
  <c r="W38" i="64"/>
  <c r="V38" i="64"/>
  <c r="M38" i="64" s="1"/>
  <c r="U38" i="64"/>
  <c r="O38" i="64"/>
  <c r="K38" i="64"/>
  <c r="G38" i="64"/>
  <c r="V37" i="64"/>
  <c r="U37" i="64"/>
  <c r="O37" i="64"/>
  <c r="M37" i="64"/>
  <c r="AF37" i="64" s="1"/>
  <c r="K37" i="64"/>
  <c r="G37" i="64"/>
  <c r="V36" i="64"/>
  <c r="M36" i="64" s="1"/>
  <c r="U36" i="64"/>
  <c r="O36" i="64"/>
  <c r="K36" i="64"/>
  <c r="G36" i="64"/>
  <c r="V35" i="64"/>
  <c r="U35" i="64"/>
  <c r="O35" i="64"/>
  <c r="N35" i="64"/>
  <c r="Q35" i="64" s="1"/>
  <c r="M35" i="64"/>
  <c r="AF35" i="64" s="1"/>
  <c r="K35" i="64"/>
  <c r="G35" i="64"/>
  <c r="X34" i="64"/>
  <c r="W34" i="64"/>
  <c r="V34" i="64"/>
  <c r="O34" i="64"/>
  <c r="M34" i="64"/>
  <c r="AF34" i="64" s="1"/>
  <c r="K34" i="64"/>
  <c r="G34" i="64"/>
  <c r="AD33" i="64"/>
  <c r="Z33" i="64"/>
  <c r="K19" i="63" s="1"/>
  <c r="Y33" i="64"/>
  <c r="K18" i="63" s="1"/>
  <c r="O33" i="64"/>
  <c r="K33" i="64"/>
  <c r="V32" i="64"/>
  <c r="U32" i="64"/>
  <c r="O32" i="64"/>
  <c r="N32" i="64"/>
  <c r="Q32" i="64" s="1"/>
  <c r="M32" i="64"/>
  <c r="AF32" i="64" s="1"/>
  <c r="K32" i="64"/>
  <c r="G32" i="64"/>
  <c r="V31" i="64"/>
  <c r="U31" i="64"/>
  <c r="O31" i="64"/>
  <c r="M31" i="64"/>
  <c r="AF31" i="64" s="1"/>
  <c r="K31" i="64"/>
  <c r="G31" i="64"/>
  <c r="X30" i="64"/>
  <c r="W30" i="64"/>
  <c r="V30" i="64"/>
  <c r="U30" i="64"/>
  <c r="O30" i="64"/>
  <c r="N30" i="64"/>
  <c r="Q30" i="64" s="1"/>
  <c r="M30" i="64"/>
  <c r="AE30" i="64" s="1"/>
  <c r="K30" i="64"/>
  <c r="G30" i="64"/>
  <c r="V29" i="64"/>
  <c r="U29" i="64"/>
  <c r="O29" i="64"/>
  <c r="M29" i="64"/>
  <c r="AF29" i="64" s="1"/>
  <c r="K29" i="64"/>
  <c r="G29" i="64"/>
  <c r="AF28" i="64"/>
  <c r="V28" i="64"/>
  <c r="U28" i="64"/>
  <c r="O28" i="64"/>
  <c r="M28" i="64"/>
  <c r="AE28" i="64" s="1"/>
  <c r="K28" i="64"/>
  <c r="G28" i="64"/>
  <c r="X27" i="64"/>
  <c r="W27" i="64"/>
  <c r="V27" i="64"/>
  <c r="O27" i="64"/>
  <c r="N27" i="64"/>
  <c r="Q27" i="64" s="1"/>
  <c r="M27" i="64"/>
  <c r="AE27" i="64" s="1"/>
  <c r="K27" i="64"/>
  <c r="G27" i="64"/>
  <c r="AD26" i="64"/>
  <c r="Z26" i="64"/>
  <c r="Y26" i="64"/>
  <c r="O26" i="64"/>
  <c r="K26" i="64"/>
  <c r="AF25" i="64"/>
  <c r="V25" i="64"/>
  <c r="U25" i="64"/>
  <c r="O25" i="64"/>
  <c r="M25" i="64"/>
  <c r="AE25" i="64" s="1"/>
  <c r="K25" i="64"/>
  <c r="G25" i="64"/>
  <c r="AE24" i="64"/>
  <c r="V24" i="64"/>
  <c r="U24" i="64"/>
  <c r="O24" i="64"/>
  <c r="M24" i="64"/>
  <c r="N24" i="64" s="1"/>
  <c r="K24" i="64"/>
  <c r="G24" i="64"/>
  <c r="V23" i="64"/>
  <c r="M23" i="64" s="1"/>
  <c r="U23" i="64"/>
  <c r="O23" i="64"/>
  <c r="K23" i="64"/>
  <c r="G23" i="64"/>
  <c r="AF22" i="64"/>
  <c r="AE22" i="64"/>
  <c r="V22" i="64"/>
  <c r="U22" i="64"/>
  <c r="O22" i="64"/>
  <c r="M22" i="64"/>
  <c r="N22" i="64" s="1"/>
  <c r="K22" i="64"/>
  <c r="G22" i="64"/>
  <c r="V21" i="64"/>
  <c r="M21" i="64" s="1"/>
  <c r="U21" i="64"/>
  <c r="O21" i="64"/>
  <c r="K21" i="64"/>
  <c r="G21" i="64"/>
  <c r="V20" i="64"/>
  <c r="M20" i="64" s="1"/>
  <c r="U20" i="64"/>
  <c r="O20" i="64"/>
  <c r="K20" i="64"/>
  <c r="G20" i="64"/>
  <c r="V19" i="64"/>
  <c r="M19" i="64" s="1"/>
  <c r="O19" i="64"/>
  <c r="K19" i="64"/>
  <c r="G19" i="64"/>
  <c r="AD18" i="64"/>
  <c r="F21" i="63" s="1"/>
  <c r="Z18" i="64"/>
  <c r="Z2" i="64" s="1"/>
  <c r="L6" i="63" s="1"/>
  <c r="Y18" i="64"/>
  <c r="O18" i="64"/>
  <c r="K18" i="64"/>
  <c r="V17" i="64"/>
  <c r="M17" i="64" s="1"/>
  <c r="U17" i="64"/>
  <c r="O17" i="64"/>
  <c r="K17" i="64"/>
  <c r="G17" i="64"/>
  <c r="V16" i="64"/>
  <c r="U16" i="64"/>
  <c r="O16" i="64"/>
  <c r="M16" i="64"/>
  <c r="AF16" i="64" s="1"/>
  <c r="K16" i="64"/>
  <c r="G16" i="64"/>
  <c r="V15" i="64"/>
  <c r="M15" i="64" s="1"/>
  <c r="U15" i="64"/>
  <c r="O15" i="64"/>
  <c r="K15" i="64"/>
  <c r="G15" i="64"/>
  <c r="V14" i="64"/>
  <c r="M14" i="64" s="1"/>
  <c r="O14" i="64"/>
  <c r="K14" i="64"/>
  <c r="G14" i="64"/>
  <c r="AD13" i="64"/>
  <c r="E21" i="63" s="1"/>
  <c r="Z13" i="64"/>
  <c r="Y13" i="64"/>
  <c r="O13" i="64"/>
  <c r="K13" i="64"/>
  <c r="V12" i="64"/>
  <c r="U12" i="64"/>
  <c r="O12" i="64"/>
  <c r="M12" i="64"/>
  <c r="AF12" i="64" s="1"/>
  <c r="K12" i="64"/>
  <c r="G12" i="64"/>
  <c r="X11" i="64"/>
  <c r="W11" i="64"/>
  <c r="V11" i="64"/>
  <c r="U11" i="64"/>
  <c r="O11" i="64"/>
  <c r="N11" i="64"/>
  <c r="Q11" i="64" s="1"/>
  <c r="M11" i="64"/>
  <c r="AE11" i="64" s="1"/>
  <c r="K11" i="64"/>
  <c r="G11" i="64"/>
  <c r="V10" i="64"/>
  <c r="U10" i="64"/>
  <c r="O10" i="64"/>
  <c r="M10" i="64"/>
  <c r="AF10" i="64" s="1"/>
  <c r="K10" i="64"/>
  <c r="G10" i="64"/>
  <c r="X9" i="64"/>
  <c r="W9" i="64"/>
  <c r="V9" i="64"/>
  <c r="M9" i="64" s="1"/>
  <c r="O9" i="64"/>
  <c r="K9" i="64"/>
  <c r="G9" i="64"/>
  <c r="AD8" i="64"/>
  <c r="D21" i="63" s="1"/>
  <c r="Z8" i="64"/>
  <c r="D19" i="63" s="1"/>
  <c r="Y8" i="64"/>
  <c r="Y2" i="64" s="1"/>
  <c r="K6" i="63" s="1"/>
  <c r="O8" i="64"/>
  <c r="K8" i="64"/>
  <c r="V7" i="64"/>
  <c r="U7" i="64"/>
  <c r="O7" i="64"/>
  <c r="M7" i="64"/>
  <c r="AF7" i="64" s="1"/>
  <c r="K7" i="64"/>
  <c r="G7" i="64"/>
  <c r="AF6" i="64"/>
  <c r="V6" i="64"/>
  <c r="U6" i="64"/>
  <c r="O6" i="64"/>
  <c r="M6" i="64"/>
  <c r="AE6" i="64" s="1"/>
  <c r="K6" i="64"/>
  <c r="G6" i="64"/>
  <c r="AF5" i="64"/>
  <c r="V5" i="64"/>
  <c r="O5" i="64"/>
  <c r="M5" i="64"/>
  <c r="AE5" i="64" s="1"/>
  <c r="K5" i="64"/>
  <c r="G5" i="64"/>
  <c r="F1" i="64" s="1"/>
  <c r="H2" i="64"/>
  <c r="H1" i="64"/>
  <c r="D1" i="64"/>
  <c r="M22" i="63"/>
  <c r="L22" i="63"/>
  <c r="K22" i="63"/>
  <c r="J22" i="63"/>
  <c r="I22" i="63"/>
  <c r="H22" i="63"/>
  <c r="G22" i="63"/>
  <c r="F22" i="63"/>
  <c r="E22" i="63"/>
  <c r="D22" i="63"/>
  <c r="M21" i="63"/>
  <c r="K21" i="63"/>
  <c r="J21" i="63"/>
  <c r="I21" i="63"/>
  <c r="H21" i="63"/>
  <c r="G21" i="63"/>
  <c r="M20" i="63"/>
  <c r="L20" i="63"/>
  <c r="K20" i="63"/>
  <c r="J20" i="63"/>
  <c r="I20" i="63"/>
  <c r="H20" i="63"/>
  <c r="G20" i="63"/>
  <c r="F20" i="63"/>
  <c r="E20" i="63"/>
  <c r="D20" i="63"/>
  <c r="H19" i="63"/>
  <c r="G19" i="63"/>
  <c r="F19" i="63"/>
  <c r="E19" i="63"/>
  <c r="M18" i="63"/>
  <c r="L18" i="63"/>
  <c r="J18" i="63"/>
  <c r="H18" i="63"/>
  <c r="G18" i="63"/>
  <c r="F18" i="63"/>
  <c r="E18" i="63"/>
  <c r="D18" i="63"/>
  <c r="M17" i="63"/>
  <c r="L17" i="63"/>
  <c r="K17" i="63"/>
  <c r="J17" i="63"/>
  <c r="I17" i="63"/>
  <c r="H17" i="63"/>
  <c r="G17" i="63"/>
  <c r="F17" i="63"/>
  <c r="E17" i="63"/>
  <c r="D17" i="63"/>
  <c r="M16" i="63"/>
  <c r="L16" i="63"/>
  <c r="K16" i="63"/>
  <c r="J16" i="63"/>
  <c r="I16" i="63"/>
  <c r="H16" i="63"/>
  <c r="G16" i="63"/>
  <c r="F16" i="63"/>
  <c r="E16" i="63"/>
  <c r="D16" i="63"/>
  <c r="M13" i="63"/>
  <c r="L13" i="63"/>
  <c r="K13" i="63"/>
  <c r="I6" i="63" s="1"/>
  <c r="J13" i="63"/>
  <c r="I13" i="63"/>
  <c r="H13" i="63"/>
  <c r="G6" i="63" s="1"/>
  <c r="G13" i="63"/>
  <c r="F13" i="63"/>
  <c r="E13" i="63"/>
  <c r="D13" i="63"/>
  <c r="M6" i="63"/>
  <c r="F3" i="63"/>
  <c r="C3" i="63"/>
  <c r="E7" i="69" l="1"/>
  <c r="G7" i="69"/>
  <c r="G8" i="69"/>
  <c r="F8" i="69"/>
  <c r="F7" i="69"/>
  <c r="K15" i="69"/>
  <c r="I8" i="69" s="1"/>
  <c r="I7" i="69"/>
  <c r="Q10" i="66"/>
  <c r="P10" i="66"/>
  <c r="Q35" i="66"/>
  <c r="P35" i="66"/>
  <c r="Q47" i="66"/>
  <c r="P47" i="66"/>
  <c r="Q42" i="66"/>
  <c r="P42" i="66"/>
  <c r="N62" i="66"/>
  <c r="AF62" i="66"/>
  <c r="AG57" i="66" s="1"/>
  <c r="AE62" i="66"/>
  <c r="Q9" i="66"/>
  <c r="P9" i="66"/>
  <c r="Q17" i="66"/>
  <c r="P17" i="66"/>
  <c r="Q37" i="66"/>
  <c r="P37" i="66"/>
  <c r="Q65" i="66"/>
  <c r="P65" i="66"/>
  <c r="N48" i="66"/>
  <c r="AF48" i="66"/>
  <c r="AG44" i="66" s="1"/>
  <c r="AE48" i="66"/>
  <c r="AF70" i="66"/>
  <c r="AG63" i="66" s="1"/>
  <c r="AE70" i="66"/>
  <c r="N70" i="66"/>
  <c r="Q22" i="66"/>
  <c r="P22" i="66"/>
  <c r="Q45" i="66"/>
  <c r="P45" i="66"/>
  <c r="Q44" i="66"/>
  <c r="P44" i="66"/>
  <c r="Q15" i="66"/>
  <c r="P15" i="66"/>
  <c r="AF27" i="66"/>
  <c r="AG21" i="66" s="1"/>
  <c r="AE27" i="66"/>
  <c r="N27" i="66"/>
  <c r="I14" i="65"/>
  <c r="I15" i="65" s="1"/>
  <c r="Q56" i="66"/>
  <c r="R49" i="66" s="1"/>
  <c r="P56" i="66"/>
  <c r="Q52" i="66"/>
  <c r="P52" i="66"/>
  <c r="Q54" i="66"/>
  <c r="P54" i="66"/>
  <c r="AF14" i="66"/>
  <c r="AG9" i="66" s="1"/>
  <c r="AE14" i="66"/>
  <c r="N14" i="66"/>
  <c r="Q38" i="66"/>
  <c r="P38" i="66"/>
  <c r="Q16" i="66"/>
  <c r="P16" i="66"/>
  <c r="Q34" i="66"/>
  <c r="R28" i="66" s="1"/>
  <c r="K14" i="65"/>
  <c r="P34" i="66"/>
  <c r="Q29" i="66"/>
  <c r="P29" i="66"/>
  <c r="Q36" i="66"/>
  <c r="P36" i="66"/>
  <c r="N20" i="66"/>
  <c r="AF20" i="66"/>
  <c r="AG15" i="66" s="1"/>
  <c r="AE20" i="66"/>
  <c r="Q59" i="66"/>
  <c r="P59" i="66"/>
  <c r="Q61" i="66"/>
  <c r="P61" i="66"/>
  <c r="Q69" i="66"/>
  <c r="P69" i="66"/>
  <c r="Q26" i="66"/>
  <c r="P26" i="66"/>
  <c r="Q33" i="66"/>
  <c r="P33" i="66"/>
  <c r="Q21" i="66"/>
  <c r="P21" i="66"/>
  <c r="Q25" i="66"/>
  <c r="P25" i="66"/>
  <c r="Q49" i="66"/>
  <c r="P49" i="66"/>
  <c r="Q12" i="66"/>
  <c r="P12" i="66"/>
  <c r="Q31" i="66"/>
  <c r="P31" i="66"/>
  <c r="Q64" i="66"/>
  <c r="P64" i="66"/>
  <c r="P60" i="66"/>
  <c r="Q60" i="66"/>
  <c r="Q28" i="66"/>
  <c r="P28" i="66"/>
  <c r="Q6" i="66"/>
  <c r="P6" i="66"/>
  <c r="Q51" i="66"/>
  <c r="P51" i="66"/>
  <c r="AF8" i="66"/>
  <c r="AG5" i="66" s="1"/>
  <c r="AE8" i="66"/>
  <c r="N8" i="66"/>
  <c r="Q7" i="66"/>
  <c r="P7" i="66"/>
  <c r="N43" i="66"/>
  <c r="AF43" i="66"/>
  <c r="AG35" i="66" s="1"/>
  <c r="AE43" i="66"/>
  <c r="Q40" i="66"/>
  <c r="P40" i="66"/>
  <c r="Q5" i="66"/>
  <c r="P5" i="66"/>
  <c r="Q67" i="66"/>
  <c r="P67" i="66"/>
  <c r="P46" i="66"/>
  <c r="Q46" i="66"/>
  <c r="Q19" i="66"/>
  <c r="P19" i="66"/>
  <c r="M55" i="64"/>
  <c r="N48" i="64"/>
  <c r="AF48" i="64"/>
  <c r="AE48" i="64"/>
  <c r="N65" i="64"/>
  <c r="AF65" i="64"/>
  <c r="AE65" i="64"/>
  <c r="N41" i="64"/>
  <c r="AF41" i="64"/>
  <c r="AE41" i="64"/>
  <c r="AF54" i="64"/>
  <c r="AE54" i="64"/>
  <c r="N54" i="64"/>
  <c r="N59" i="64"/>
  <c r="AF59" i="64"/>
  <c r="AE59" i="64"/>
  <c r="Q64" i="64"/>
  <c r="P64" i="64"/>
  <c r="AF15" i="64"/>
  <c r="AE15" i="64"/>
  <c r="N15" i="64"/>
  <c r="AF56" i="64"/>
  <c r="M61" i="64"/>
  <c r="AE56" i="64"/>
  <c r="N56" i="64"/>
  <c r="N63" i="64"/>
  <c r="AF63" i="64"/>
  <c r="AE63" i="64"/>
  <c r="N44" i="64"/>
  <c r="AF44" i="64"/>
  <c r="AE44" i="64"/>
  <c r="N49" i="64"/>
  <c r="AF49" i="64"/>
  <c r="AE49" i="64"/>
  <c r="N20" i="64"/>
  <c r="AF20" i="64"/>
  <c r="AE20" i="64"/>
  <c r="N46" i="64"/>
  <c r="AF46" i="64"/>
  <c r="AE46" i="64"/>
  <c r="Q66" i="64"/>
  <c r="P66" i="64"/>
  <c r="M18" i="64"/>
  <c r="AF14" i="64"/>
  <c r="AE14" i="64"/>
  <c r="N14" i="64"/>
  <c r="N23" i="64"/>
  <c r="AF23" i="64"/>
  <c r="AE23" i="64"/>
  <c r="N67" i="64"/>
  <c r="AF67" i="64"/>
  <c r="AE67" i="64"/>
  <c r="AF57" i="64"/>
  <c r="AE57" i="64"/>
  <c r="N57" i="64"/>
  <c r="N62" i="64"/>
  <c r="AF62" i="64"/>
  <c r="AE62" i="64"/>
  <c r="M70" i="64"/>
  <c r="Q68" i="64"/>
  <c r="P68" i="64"/>
  <c r="F2" i="64"/>
  <c r="I3" i="63"/>
  <c r="N19" i="64"/>
  <c r="AF19" i="64"/>
  <c r="AE19" i="64"/>
  <c r="M26" i="64"/>
  <c r="AF38" i="64"/>
  <c r="AE38" i="64"/>
  <c r="N38" i="64"/>
  <c r="N60" i="64"/>
  <c r="AF60" i="64"/>
  <c r="AE60" i="64"/>
  <c r="Q22" i="64"/>
  <c r="P22" i="64"/>
  <c r="AF36" i="64"/>
  <c r="AE36" i="64"/>
  <c r="N36" i="64"/>
  <c r="AF40" i="64"/>
  <c r="AE40" i="64"/>
  <c r="N40" i="64"/>
  <c r="Q50" i="64"/>
  <c r="P50" i="64"/>
  <c r="N21" i="64"/>
  <c r="AF21" i="64"/>
  <c r="AE21" i="64"/>
  <c r="Q24" i="64"/>
  <c r="P24" i="64"/>
  <c r="N58" i="64"/>
  <c r="AF58" i="64"/>
  <c r="AE58" i="64"/>
  <c r="AF9" i="64"/>
  <c r="AE9" i="64"/>
  <c r="N9" i="64"/>
  <c r="M13" i="64"/>
  <c r="AF17" i="64"/>
  <c r="AE17" i="64"/>
  <c r="N17" i="64"/>
  <c r="N43" i="64"/>
  <c r="M47" i="64"/>
  <c r="AF43" i="64"/>
  <c r="AE43" i="64"/>
  <c r="N45" i="64"/>
  <c r="AF45" i="64"/>
  <c r="AE45" i="64"/>
  <c r="AF11" i="64"/>
  <c r="AF27" i="64"/>
  <c r="AF30" i="64"/>
  <c r="M33" i="64"/>
  <c r="AD2" i="64"/>
  <c r="N6" i="63" s="1"/>
  <c r="M8" i="64"/>
  <c r="N16" i="64"/>
  <c r="AF24" i="64"/>
  <c r="N34" i="64"/>
  <c r="N37" i="64"/>
  <c r="N39" i="64"/>
  <c r="AF50" i="64"/>
  <c r="AF68" i="64"/>
  <c r="F6" i="63"/>
  <c r="E6" i="63"/>
  <c r="N7" i="64"/>
  <c r="N10" i="64"/>
  <c r="N12" i="64"/>
  <c r="N29" i="64"/>
  <c r="N31" i="64"/>
  <c r="N52" i="64"/>
  <c r="N5" i="64"/>
  <c r="N6" i="64"/>
  <c r="P11" i="64"/>
  <c r="N25" i="64"/>
  <c r="P27" i="64"/>
  <c r="N28" i="64"/>
  <c r="P30" i="64"/>
  <c r="P32" i="64"/>
  <c r="P35" i="64"/>
  <c r="P53" i="64"/>
  <c r="N69" i="64"/>
  <c r="AE16" i="64"/>
  <c r="AE37" i="64"/>
  <c r="AE39" i="64"/>
  <c r="P51" i="64"/>
  <c r="M42" i="64"/>
  <c r="AE32" i="64"/>
  <c r="AE34" i="64"/>
  <c r="AE35" i="64"/>
  <c r="AE53" i="64"/>
  <c r="AE7" i="64"/>
  <c r="AE10" i="64"/>
  <c r="AE12" i="64"/>
  <c r="AE29" i="64"/>
  <c r="AE31" i="64"/>
  <c r="AE52" i="64"/>
  <c r="AD76" i="62"/>
  <c r="Z76" i="62"/>
  <c r="Y76" i="62"/>
  <c r="O76" i="62"/>
  <c r="K76" i="62"/>
  <c r="V75" i="62"/>
  <c r="U75" i="62"/>
  <c r="O75" i="62"/>
  <c r="M75" i="62"/>
  <c r="AE75" i="62" s="1"/>
  <c r="K75" i="62"/>
  <c r="G75" i="62"/>
  <c r="AF74" i="62"/>
  <c r="AE74" i="62"/>
  <c r="V74" i="62"/>
  <c r="U74" i="62"/>
  <c r="O74" i="62"/>
  <c r="M74" i="62"/>
  <c r="N74" i="62" s="1"/>
  <c r="K74" i="62"/>
  <c r="G74" i="62"/>
  <c r="V73" i="62"/>
  <c r="M73" i="62" s="1"/>
  <c r="U73" i="62"/>
  <c r="O73" i="62"/>
  <c r="K73" i="62"/>
  <c r="G73" i="62"/>
  <c r="AF72" i="62"/>
  <c r="AE72" i="62"/>
  <c r="X72" i="62"/>
  <c r="W72" i="62"/>
  <c r="V72" i="62"/>
  <c r="U72" i="62"/>
  <c r="O72" i="62"/>
  <c r="M72" i="62"/>
  <c r="N72" i="62" s="1"/>
  <c r="K72" i="62"/>
  <c r="G72" i="62"/>
  <c r="V71" i="62"/>
  <c r="M71" i="62" s="1"/>
  <c r="U71" i="62"/>
  <c r="O71" i="62"/>
  <c r="K71" i="62"/>
  <c r="G71" i="62"/>
  <c r="V70" i="62"/>
  <c r="M70" i="62" s="1"/>
  <c r="U70" i="62"/>
  <c r="O70" i="62"/>
  <c r="K70" i="62"/>
  <c r="G70" i="62"/>
  <c r="V69" i="62"/>
  <c r="M69" i="62" s="1"/>
  <c r="U69" i="62"/>
  <c r="O69" i="62"/>
  <c r="K69" i="62"/>
  <c r="G69" i="62"/>
  <c r="X68" i="62"/>
  <c r="W68" i="62"/>
  <c r="V68" i="62"/>
  <c r="M68" i="62" s="1"/>
  <c r="O68" i="62"/>
  <c r="K68" i="62"/>
  <c r="G68" i="62"/>
  <c r="AD67" i="62"/>
  <c r="Z67" i="62"/>
  <c r="Y67" i="62"/>
  <c r="O67" i="62"/>
  <c r="K67" i="62"/>
  <c r="V66" i="62"/>
  <c r="M66" i="62" s="1"/>
  <c r="U66" i="62"/>
  <c r="O66" i="62"/>
  <c r="K66" i="62"/>
  <c r="G66" i="62"/>
  <c r="V65" i="62"/>
  <c r="M65" i="62" s="1"/>
  <c r="U65" i="62"/>
  <c r="O65" i="62"/>
  <c r="K65" i="62"/>
  <c r="G65" i="62"/>
  <c r="V64" i="62"/>
  <c r="M64" i="62" s="1"/>
  <c r="U64" i="62"/>
  <c r="O64" i="62"/>
  <c r="K64" i="62"/>
  <c r="G64" i="62"/>
  <c r="V63" i="62"/>
  <c r="M63" i="62" s="1"/>
  <c r="U63" i="62"/>
  <c r="O63" i="62"/>
  <c r="K63" i="62"/>
  <c r="G63" i="62"/>
  <c r="V62" i="62"/>
  <c r="M62" i="62" s="1"/>
  <c r="O62" i="62"/>
  <c r="K62" i="62"/>
  <c r="G62" i="62"/>
  <c r="AD61" i="62"/>
  <c r="Z61" i="62"/>
  <c r="Y61" i="62"/>
  <c r="O61" i="62"/>
  <c r="K61" i="62"/>
  <c r="V60" i="62"/>
  <c r="U60" i="62"/>
  <c r="P60" i="62"/>
  <c r="O60" i="62"/>
  <c r="N60" i="62"/>
  <c r="Q60" i="62" s="1"/>
  <c r="M60" i="62"/>
  <c r="AF60" i="62" s="1"/>
  <c r="K60" i="62"/>
  <c r="G60" i="62"/>
  <c r="V59" i="62"/>
  <c r="U59" i="62"/>
  <c r="O59" i="62"/>
  <c r="M59" i="62"/>
  <c r="AF59" i="62" s="1"/>
  <c r="K59" i="62"/>
  <c r="G59" i="62"/>
  <c r="V58" i="62"/>
  <c r="U58" i="62"/>
  <c r="O58" i="62"/>
  <c r="N58" i="62"/>
  <c r="Q58" i="62" s="1"/>
  <c r="M58" i="62"/>
  <c r="AF58" i="62" s="1"/>
  <c r="K58" i="62"/>
  <c r="G58" i="62"/>
  <c r="V57" i="62"/>
  <c r="U57" i="62"/>
  <c r="O57" i="62"/>
  <c r="M57" i="62"/>
  <c r="AE57" i="62" s="1"/>
  <c r="K57" i="62"/>
  <c r="G57" i="62"/>
  <c r="AF56" i="62"/>
  <c r="AE56" i="62"/>
  <c r="V56" i="62"/>
  <c r="U56" i="62"/>
  <c r="O56" i="62"/>
  <c r="M56" i="62"/>
  <c r="N56" i="62" s="1"/>
  <c r="K56" i="62"/>
  <c r="G56" i="62"/>
  <c r="V55" i="62"/>
  <c r="M55" i="62" s="1"/>
  <c r="U55" i="62"/>
  <c r="O55" i="62"/>
  <c r="K55" i="62"/>
  <c r="G55" i="62"/>
  <c r="V54" i="62"/>
  <c r="M54" i="62" s="1"/>
  <c r="O54" i="62"/>
  <c r="K54" i="62"/>
  <c r="G54" i="62"/>
  <c r="AD53" i="62"/>
  <c r="Z53" i="62"/>
  <c r="Y53" i="62"/>
  <c r="O53" i="62"/>
  <c r="K53" i="62"/>
  <c r="V52" i="62"/>
  <c r="M52" i="62" s="1"/>
  <c r="U52" i="62"/>
  <c r="O52" i="62"/>
  <c r="K52" i="62"/>
  <c r="G52" i="62"/>
  <c r="V51" i="62"/>
  <c r="M51" i="62" s="1"/>
  <c r="U51" i="62"/>
  <c r="O51" i="62"/>
  <c r="K51" i="62"/>
  <c r="G51" i="62"/>
  <c r="V50" i="62"/>
  <c r="M50" i="62" s="1"/>
  <c r="U50" i="62"/>
  <c r="O50" i="62"/>
  <c r="K50" i="62"/>
  <c r="G50" i="62"/>
  <c r="X49" i="62"/>
  <c r="W49" i="62"/>
  <c r="V49" i="62"/>
  <c r="M49" i="62" s="1"/>
  <c r="O49" i="62"/>
  <c r="K49" i="62"/>
  <c r="G49" i="62"/>
  <c r="AD48" i="62"/>
  <c r="Z48" i="62"/>
  <c r="Z2" i="62" s="1"/>
  <c r="L6" i="61" s="1"/>
  <c r="Y48" i="62"/>
  <c r="O48" i="62"/>
  <c r="K48" i="62"/>
  <c r="V47" i="62"/>
  <c r="M47" i="62" s="1"/>
  <c r="U47" i="62"/>
  <c r="O47" i="62"/>
  <c r="K47" i="62"/>
  <c r="G47" i="62"/>
  <c r="V46" i="62"/>
  <c r="M46" i="62" s="1"/>
  <c r="U46" i="62"/>
  <c r="O46" i="62"/>
  <c r="K46" i="62"/>
  <c r="G46" i="62"/>
  <c r="V45" i="62"/>
  <c r="U45" i="62"/>
  <c r="Q45" i="62"/>
  <c r="O45" i="62"/>
  <c r="N45" i="62"/>
  <c r="P45" i="62" s="1"/>
  <c r="M45" i="62"/>
  <c r="AF45" i="62" s="1"/>
  <c r="K45" i="62"/>
  <c r="G45" i="62"/>
  <c r="X44" i="62"/>
  <c r="W44" i="62"/>
  <c r="V44" i="62"/>
  <c r="M44" i="62" s="1"/>
  <c r="U44" i="62"/>
  <c r="O44" i="62"/>
  <c r="K44" i="62"/>
  <c r="G44" i="62"/>
  <c r="V43" i="62"/>
  <c r="U43" i="62"/>
  <c r="Q43" i="62"/>
  <c r="O43" i="62"/>
  <c r="N43" i="62"/>
  <c r="P43" i="62" s="1"/>
  <c r="M43" i="62"/>
  <c r="AF43" i="62" s="1"/>
  <c r="K43" i="62"/>
  <c r="G43" i="62"/>
  <c r="V42" i="62"/>
  <c r="U42" i="62"/>
  <c r="P42" i="62"/>
  <c r="O42" i="62"/>
  <c r="N42" i="62"/>
  <c r="Q42" i="62" s="1"/>
  <c r="M42" i="62"/>
  <c r="AF42" i="62" s="1"/>
  <c r="K42" i="62"/>
  <c r="G42" i="62"/>
  <c r="V41" i="62"/>
  <c r="U41" i="62"/>
  <c r="O41" i="62"/>
  <c r="M41" i="62"/>
  <c r="AF41" i="62" s="1"/>
  <c r="K41" i="62"/>
  <c r="G41" i="62"/>
  <c r="X40" i="62"/>
  <c r="W40" i="62"/>
  <c r="V40" i="62"/>
  <c r="Q40" i="62"/>
  <c r="O40" i="62"/>
  <c r="N40" i="62"/>
  <c r="P40" i="62" s="1"/>
  <c r="M40" i="62"/>
  <c r="AF40" i="62" s="1"/>
  <c r="K40" i="62"/>
  <c r="G40" i="62"/>
  <c r="AD39" i="62"/>
  <c r="Z39" i="62"/>
  <c r="Y39" i="62"/>
  <c r="O39" i="62"/>
  <c r="K39" i="62"/>
  <c r="V38" i="62"/>
  <c r="U38" i="62"/>
  <c r="O38" i="62"/>
  <c r="M38" i="62"/>
  <c r="AF38" i="62" s="1"/>
  <c r="K38" i="62"/>
  <c r="G38" i="62"/>
  <c r="V37" i="62"/>
  <c r="U37" i="62"/>
  <c r="O37" i="62"/>
  <c r="N37" i="62"/>
  <c r="Q37" i="62" s="1"/>
  <c r="M37" i="62"/>
  <c r="AF37" i="62" s="1"/>
  <c r="K37" i="62"/>
  <c r="G37" i="62"/>
  <c r="V36" i="62"/>
  <c r="U36" i="62"/>
  <c r="O36" i="62"/>
  <c r="M36" i="62"/>
  <c r="AE36" i="62" s="1"/>
  <c r="K36" i="62"/>
  <c r="G36" i="62"/>
  <c r="AF35" i="62"/>
  <c r="AE35" i="62"/>
  <c r="X35" i="62"/>
  <c r="W35" i="62"/>
  <c r="V35" i="62"/>
  <c r="U35" i="62"/>
  <c r="O35" i="62"/>
  <c r="N35" i="62"/>
  <c r="Q35" i="62" s="1"/>
  <c r="M35" i="62"/>
  <c r="K35" i="62"/>
  <c r="G35" i="62"/>
  <c r="V34" i="62"/>
  <c r="U34" i="62"/>
  <c r="O34" i="62"/>
  <c r="M34" i="62"/>
  <c r="AE34" i="62" s="1"/>
  <c r="K34" i="62"/>
  <c r="G34" i="62"/>
  <c r="AF33" i="62"/>
  <c r="AE33" i="62"/>
  <c r="V33" i="62"/>
  <c r="U33" i="62"/>
  <c r="O33" i="62"/>
  <c r="M33" i="62"/>
  <c r="N33" i="62" s="1"/>
  <c r="K33" i="62"/>
  <c r="G33" i="62"/>
  <c r="AF32" i="62"/>
  <c r="AE32" i="62"/>
  <c r="X32" i="62"/>
  <c r="W32" i="62"/>
  <c r="V32" i="62"/>
  <c r="O32" i="62"/>
  <c r="N32" i="62"/>
  <c r="Q32" i="62" s="1"/>
  <c r="M32" i="62"/>
  <c r="K32" i="62"/>
  <c r="G32" i="62"/>
  <c r="AD31" i="62"/>
  <c r="Z31" i="62"/>
  <c r="Y31" i="62"/>
  <c r="O31" i="62"/>
  <c r="K31" i="62"/>
  <c r="AF30" i="62"/>
  <c r="AE30" i="62"/>
  <c r="V30" i="62"/>
  <c r="U30" i="62"/>
  <c r="O30" i="62"/>
  <c r="M30" i="62"/>
  <c r="N30" i="62" s="1"/>
  <c r="K30" i="62"/>
  <c r="G30" i="62"/>
  <c r="X29" i="62"/>
  <c r="W29" i="62"/>
  <c r="V29" i="62"/>
  <c r="U29" i="62"/>
  <c r="O29" i="62"/>
  <c r="M29" i="62"/>
  <c r="N29" i="62" s="1"/>
  <c r="K29" i="62"/>
  <c r="G29" i="62"/>
  <c r="AF28" i="62"/>
  <c r="AE28" i="62"/>
  <c r="V28" i="62"/>
  <c r="U28" i="62"/>
  <c r="O28" i="62"/>
  <c r="M28" i="62"/>
  <c r="N28" i="62" s="1"/>
  <c r="K28" i="62"/>
  <c r="G28" i="62"/>
  <c r="V27" i="62"/>
  <c r="M27" i="62" s="1"/>
  <c r="U27" i="62"/>
  <c r="O27" i="62"/>
  <c r="K27" i="62"/>
  <c r="G27" i="62"/>
  <c r="V26" i="62"/>
  <c r="M26" i="62" s="1"/>
  <c r="U26" i="62"/>
  <c r="O26" i="62"/>
  <c r="K26" i="62"/>
  <c r="G26" i="62"/>
  <c r="V25" i="62"/>
  <c r="M25" i="62" s="1"/>
  <c r="U25" i="62"/>
  <c r="O25" i="62"/>
  <c r="K25" i="62"/>
  <c r="G25" i="62"/>
  <c r="V24" i="62"/>
  <c r="M24" i="62" s="1"/>
  <c r="U24" i="62"/>
  <c r="O24" i="62"/>
  <c r="K24" i="62"/>
  <c r="G24" i="62"/>
  <c r="V23" i="62"/>
  <c r="M23" i="62" s="1"/>
  <c r="O23" i="62"/>
  <c r="K23" i="62"/>
  <c r="G23" i="62"/>
  <c r="AD22" i="62"/>
  <c r="AD2" i="62" s="1"/>
  <c r="N6" i="61" s="1"/>
  <c r="Z22" i="62"/>
  <c r="Y22" i="62"/>
  <c r="O22" i="62"/>
  <c r="K22" i="62"/>
  <c r="V21" i="62"/>
  <c r="M21" i="62" s="1"/>
  <c r="U21" i="62"/>
  <c r="O21" i="62"/>
  <c r="K21" i="62"/>
  <c r="G21" i="62"/>
  <c r="X20" i="62"/>
  <c r="W20" i="62"/>
  <c r="V20" i="62"/>
  <c r="M20" i="62" s="1"/>
  <c r="U20" i="62"/>
  <c r="O20" i="62"/>
  <c r="K20" i="62"/>
  <c r="G20" i="62"/>
  <c r="V19" i="62"/>
  <c r="M19" i="62" s="1"/>
  <c r="U19" i="62"/>
  <c r="O19" i="62"/>
  <c r="K19" i="62"/>
  <c r="G19" i="62"/>
  <c r="V18" i="62"/>
  <c r="U18" i="62"/>
  <c r="O18" i="62"/>
  <c r="M18" i="62"/>
  <c r="AF18" i="62" s="1"/>
  <c r="K18" i="62"/>
  <c r="G18" i="62"/>
  <c r="V17" i="62"/>
  <c r="O17" i="62"/>
  <c r="M17" i="62"/>
  <c r="M22" i="62" s="1"/>
  <c r="K17" i="62"/>
  <c r="G17" i="62"/>
  <c r="AD16" i="62"/>
  <c r="Z16" i="62"/>
  <c r="Y16" i="62"/>
  <c r="O16" i="62"/>
  <c r="K16" i="62"/>
  <c r="V15" i="62"/>
  <c r="U15" i="62"/>
  <c r="O15" i="62"/>
  <c r="M15" i="62"/>
  <c r="AF15" i="62" s="1"/>
  <c r="K15" i="62"/>
  <c r="G15" i="62"/>
  <c r="X14" i="62"/>
  <c r="W14" i="62"/>
  <c r="V14" i="62"/>
  <c r="U14" i="62"/>
  <c r="P14" i="62"/>
  <c r="O14" i="62"/>
  <c r="N14" i="62"/>
  <c r="Q14" i="62" s="1"/>
  <c r="M14" i="62"/>
  <c r="AF14" i="62" s="1"/>
  <c r="K14" i="62"/>
  <c r="G14" i="62"/>
  <c r="V13" i="62"/>
  <c r="U13" i="62"/>
  <c r="O13" i="62"/>
  <c r="M13" i="62"/>
  <c r="AF13" i="62" s="1"/>
  <c r="K13" i="62"/>
  <c r="G13" i="62"/>
  <c r="X12" i="62"/>
  <c r="W12" i="62"/>
  <c r="V12" i="62"/>
  <c r="O12" i="62"/>
  <c r="M12" i="62"/>
  <c r="AF12" i="62" s="1"/>
  <c r="K12" i="62"/>
  <c r="G12" i="62"/>
  <c r="AD11" i="62"/>
  <c r="Z11" i="62"/>
  <c r="Y11" i="62"/>
  <c r="Y2" i="62" s="1"/>
  <c r="K6" i="61" s="1"/>
  <c r="O11" i="62"/>
  <c r="K11" i="62"/>
  <c r="V10" i="62"/>
  <c r="U10" i="62"/>
  <c r="O10" i="62"/>
  <c r="M10" i="62"/>
  <c r="AF10" i="62" s="1"/>
  <c r="K10" i="62"/>
  <c r="G10" i="62"/>
  <c r="V9" i="62"/>
  <c r="U9" i="62"/>
  <c r="O9" i="62"/>
  <c r="N9" i="62"/>
  <c r="Q9" i="62" s="1"/>
  <c r="M9" i="62"/>
  <c r="AF9" i="62" s="1"/>
  <c r="K9" i="62"/>
  <c r="G9" i="62"/>
  <c r="X8" i="62"/>
  <c r="W8" i="62"/>
  <c r="V8" i="62"/>
  <c r="U8" i="62"/>
  <c r="O8" i="62"/>
  <c r="M8" i="62"/>
  <c r="AE8" i="62" s="1"/>
  <c r="K8" i="62"/>
  <c r="G8" i="62"/>
  <c r="V7" i="62"/>
  <c r="U7" i="62"/>
  <c r="O7" i="62"/>
  <c r="N7" i="62"/>
  <c r="Q7" i="62" s="1"/>
  <c r="M7" i="62"/>
  <c r="AF7" i="62" s="1"/>
  <c r="K7" i="62"/>
  <c r="G7" i="62"/>
  <c r="V6" i="62"/>
  <c r="U6" i="62"/>
  <c r="O6" i="62"/>
  <c r="M6" i="62"/>
  <c r="AE6" i="62" s="1"/>
  <c r="K6" i="62"/>
  <c r="G6" i="62"/>
  <c r="V5" i="62"/>
  <c r="O5" i="62"/>
  <c r="M5" i="62"/>
  <c r="AE5" i="62" s="1"/>
  <c r="K5" i="62"/>
  <c r="G5" i="62"/>
  <c r="F1" i="62" s="1"/>
  <c r="H2" i="62"/>
  <c r="H1" i="62"/>
  <c r="D1" i="62"/>
  <c r="M22" i="61"/>
  <c r="L22" i="61"/>
  <c r="K22" i="61"/>
  <c r="J22" i="61"/>
  <c r="I22" i="61"/>
  <c r="H22" i="61"/>
  <c r="G22" i="61"/>
  <c r="F22" i="61"/>
  <c r="E22" i="61"/>
  <c r="D22" i="61"/>
  <c r="M21" i="61"/>
  <c r="L21" i="61"/>
  <c r="K21" i="61"/>
  <c r="J21" i="61"/>
  <c r="I21" i="61"/>
  <c r="H21" i="61"/>
  <c r="G21" i="61"/>
  <c r="F21" i="61"/>
  <c r="E21" i="61"/>
  <c r="D21" i="61"/>
  <c r="M20" i="61"/>
  <c r="L20" i="61"/>
  <c r="K20" i="61"/>
  <c r="J20" i="61"/>
  <c r="I20" i="61"/>
  <c r="H20" i="61"/>
  <c r="G20" i="61"/>
  <c r="F20" i="61"/>
  <c r="E20" i="61"/>
  <c r="D20" i="61"/>
  <c r="M19" i="61"/>
  <c r="L19" i="61"/>
  <c r="K19" i="61"/>
  <c r="J19" i="61"/>
  <c r="I19" i="61"/>
  <c r="H19" i="61"/>
  <c r="G19" i="61"/>
  <c r="F19" i="61"/>
  <c r="E19" i="61"/>
  <c r="D19" i="61"/>
  <c r="M18" i="61"/>
  <c r="L18" i="61"/>
  <c r="K18" i="61"/>
  <c r="J18" i="61"/>
  <c r="I18" i="61"/>
  <c r="H18" i="61"/>
  <c r="G18" i="61"/>
  <c r="F18" i="61"/>
  <c r="E18" i="61"/>
  <c r="D18" i="61"/>
  <c r="M17" i="61"/>
  <c r="L17" i="61"/>
  <c r="K17" i="61"/>
  <c r="J17" i="61"/>
  <c r="I17" i="61"/>
  <c r="H17" i="61"/>
  <c r="G17" i="61"/>
  <c r="F17" i="61"/>
  <c r="E17" i="61"/>
  <c r="D17" i="61"/>
  <c r="M16" i="61"/>
  <c r="L16" i="61"/>
  <c r="K16" i="61"/>
  <c r="J16" i="61"/>
  <c r="I16" i="61"/>
  <c r="H16" i="61"/>
  <c r="G16" i="61"/>
  <c r="F16" i="61"/>
  <c r="E16" i="61"/>
  <c r="D16" i="61"/>
  <c r="M13" i="61"/>
  <c r="L13" i="61"/>
  <c r="K13" i="61"/>
  <c r="I6" i="61" s="1"/>
  <c r="J13" i="61"/>
  <c r="I13" i="61"/>
  <c r="H13" i="61"/>
  <c r="F6" i="61" s="1"/>
  <c r="G13" i="61"/>
  <c r="F13" i="61"/>
  <c r="E13" i="61"/>
  <c r="D13" i="61"/>
  <c r="M6" i="61"/>
  <c r="F3" i="61"/>
  <c r="C3" i="61"/>
  <c r="E8" i="69" l="1"/>
  <c r="Q20" i="66"/>
  <c r="R15" i="66" s="1"/>
  <c r="P20" i="66"/>
  <c r="F14" i="65"/>
  <c r="F15" i="65" s="1"/>
  <c r="Q14" i="66"/>
  <c r="R9" i="66" s="1"/>
  <c r="P14" i="66"/>
  <c r="E14" i="65"/>
  <c r="E15" i="65" s="1"/>
  <c r="D2" i="66"/>
  <c r="Q8" i="66"/>
  <c r="R5" i="66" s="1"/>
  <c r="P8" i="66"/>
  <c r="D14" i="65"/>
  <c r="Q62" i="66"/>
  <c r="R57" i="66" s="1"/>
  <c r="P62" i="66"/>
  <c r="J14" i="65"/>
  <c r="J15" i="65" s="1"/>
  <c r="Q48" i="66"/>
  <c r="R44" i="66" s="1"/>
  <c r="P48" i="66"/>
  <c r="H14" i="65"/>
  <c r="H15" i="65" s="1"/>
  <c r="Q43" i="66"/>
  <c r="R35" i="66" s="1"/>
  <c r="P43" i="66"/>
  <c r="L14" i="65"/>
  <c r="L15" i="65" s="1"/>
  <c r="K15" i="65"/>
  <c r="Q27" i="66"/>
  <c r="R21" i="66" s="1"/>
  <c r="P27" i="66"/>
  <c r="G14" i="65"/>
  <c r="G15" i="65" s="1"/>
  <c r="Q70" i="66"/>
  <c r="R63" i="66" s="1"/>
  <c r="P70" i="66"/>
  <c r="M14" i="65"/>
  <c r="M15" i="65" s="1"/>
  <c r="Q28" i="64"/>
  <c r="P28" i="64"/>
  <c r="P21" i="64"/>
  <c r="Q21" i="64"/>
  <c r="AF13" i="64"/>
  <c r="AG9" i="64" s="1"/>
  <c r="AE13" i="64"/>
  <c r="N13" i="64"/>
  <c r="P60" i="64"/>
  <c r="Q60" i="64"/>
  <c r="Q38" i="64"/>
  <c r="P38" i="64"/>
  <c r="Q40" i="64"/>
  <c r="P40" i="64"/>
  <c r="Q15" i="64"/>
  <c r="P15" i="64"/>
  <c r="Q5" i="64"/>
  <c r="P5" i="64"/>
  <c r="Q45" i="64"/>
  <c r="P45" i="64"/>
  <c r="N18" i="64"/>
  <c r="AF18" i="64"/>
  <c r="AG14" i="64" s="1"/>
  <c r="AE18" i="64"/>
  <c r="Q20" i="64"/>
  <c r="P20" i="64"/>
  <c r="Q25" i="64"/>
  <c r="P25" i="64"/>
  <c r="Q14" i="64"/>
  <c r="P14" i="64"/>
  <c r="AF26" i="64"/>
  <c r="AG19" i="64" s="1"/>
  <c r="AE26" i="64"/>
  <c r="N26" i="64"/>
  <c r="Q52" i="64"/>
  <c r="P52" i="64"/>
  <c r="Q34" i="64"/>
  <c r="P34" i="64"/>
  <c r="Q36" i="64"/>
  <c r="P36" i="64"/>
  <c r="Q23" i="64"/>
  <c r="P23" i="64"/>
  <c r="Q41" i="64"/>
  <c r="P41" i="64"/>
  <c r="Q57" i="64"/>
  <c r="P57" i="64"/>
  <c r="Q69" i="64"/>
  <c r="P69" i="64"/>
  <c r="Q31" i="64"/>
  <c r="P31" i="64"/>
  <c r="Q58" i="64"/>
  <c r="P58" i="64"/>
  <c r="Q44" i="64"/>
  <c r="P44" i="64"/>
  <c r="Q65" i="64"/>
  <c r="P65" i="64"/>
  <c r="N42" i="64"/>
  <c r="AF42" i="64"/>
  <c r="AG34" i="64" s="1"/>
  <c r="AE42" i="64"/>
  <c r="Q6" i="64"/>
  <c r="P6" i="64"/>
  <c r="Q49" i="64"/>
  <c r="P49" i="64"/>
  <c r="Q29" i="64"/>
  <c r="P29" i="64"/>
  <c r="Q16" i="64"/>
  <c r="P16" i="64"/>
  <c r="N47" i="64"/>
  <c r="AF47" i="64"/>
  <c r="AG43" i="64" s="1"/>
  <c r="AE47" i="64"/>
  <c r="Q19" i="64"/>
  <c r="P19" i="64"/>
  <c r="AF70" i="64"/>
  <c r="AG62" i="64" s="1"/>
  <c r="AE70" i="64"/>
  <c r="N70" i="64"/>
  <c r="Q62" i="64"/>
  <c r="P62" i="64"/>
  <c r="Q12" i="64"/>
  <c r="P12" i="64"/>
  <c r="AF8" i="64"/>
  <c r="AG5" i="64" s="1"/>
  <c r="AE8" i="64"/>
  <c r="N8" i="64"/>
  <c r="P43" i="64"/>
  <c r="Q43" i="64"/>
  <c r="Q9" i="64"/>
  <c r="P9" i="64"/>
  <c r="Q10" i="64"/>
  <c r="P10" i="64"/>
  <c r="Q17" i="64"/>
  <c r="P17" i="64"/>
  <c r="Q67" i="64"/>
  <c r="P67" i="64"/>
  <c r="P46" i="64"/>
  <c r="Q46" i="64"/>
  <c r="P63" i="64"/>
  <c r="Q63" i="64"/>
  <c r="Q59" i="64"/>
  <c r="P59" i="64"/>
  <c r="Q48" i="64"/>
  <c r="P48" i="64"/>
  <c r="N61" i="64"/>
  <c r="AF61" i="64"/>
  <c r="AG56" i="64" s="1"/>
  <c r="AE61" i="64"/>
  <c r="Q39" i="64"/>
  <c r="P39" i="64"/>
  <c r="Q37" i="64"/>
  <c r="P37" i="64"/>
  <c r="Q7" i="64"/>
  <c r="P7" i="64"/>
  <c r="AF33" i="64"/>
  <c r="AG27" i="64" s="1"/>
  <c r="AE33" i="64"/>
  <c r="N33" i="64"/>
  <c r="Q56" i="64"/>
  <c r="P56" i="64"/>
  <c r="Q54" i="64"/>
  <c r="P54" i="64"/>
  <c r="AF55" i="64"/>
  <c r="AG48" i="64" s="1"/>
  <c r="AE55" i="64"/>
  <c r="N55" i="64"/>
  <c r="AF21" i="62"/>
  <c r="AE21" i="62"/>
  <c r="N21" i="62"/>
  <c r="N24" i="62"/>
  <c r="AF24" i="62"/>
  <c r="AE24" i="62"/>
  <c r="N49" i="62"/>
  <c r="M53" i="62"/>
  <c r="AF49" i="62"/>
  <c r="AE49" i="62"/>
  <c r="N51" i="62"/>
  <c r="AF51" i="62"/>
  <c r="AE51" i="62"/>
  <c r="N71" i="62"/>
  <c r="AF71" i="62"/>
  <c r="AE71" i="62"/>
  <c r="N22" i="62"/>
  <c r="AF22" i="62"/>
  <c r="AG17" i="62" s="1"/>
  <c r="AE22" i="62"/>
  <c r="AF19" i="62"/>
  <c r="AE19" i="62"/>
  <c r="N19" i="62"/>
  <c r="Q30" i="62"/>
  <c r="P30" i="62"/>
  <c r="AF46" i="62"/>
  <c r="AE46" i="62"/>
  <c r="N46" i="62"/>
  <c r="F2" i="62"/>
  <c r="I3" i="61"/>
  <c r="Q29" i="62"/>
  <c r="P29" i="62"/>
  <c r="N20" i="62"/>
  <c r="AF20" i="62"/>
  <c r="AE20" i="62"/>
  <c r="N26" i="62"/>
  <c r="AF26" i="62"/>
  <c r="AE26" i="62"/>
  <c r="N64" i="62"/>
  <c r="AF64" i="62"/>
  <c r="AE64" i="62"/>
  <c r="M61" i="62"/>
  <c r="N54" i="62"/>
  <c r="AF54" i="62"/>
  <c r="AE54" i="62"/>
  <c r="N27" i="62"/>
  <c r="AF27" i="62"/>
  <c r="AE27" i="62"/>
  <c r="N47" i="62"/>
  <c r="AF47" i="62"/>
  <c r="AE47" i="62"/>
  <c r="AF62" i="62"/>
  <c r="M67" i="62"/>
  <c r="AE62" i="62"/>
  <c r="N62" i="62"/>
  <c r="N69" i="62"/>
  <c r="AF69" i="62"/>
  <c r="AE69" i="62"/>
  <c r="Q72" i="62"/>
  <c r="P72" i="62"/>
  <c r="N73" i="62"/>
  <c r="AF73" i="62"/>
  <c r="AE73" i="62"/>
  <c r="N52" i="62"/>
  <c r="AF52" i="62"/>
  <c r="AE52" i="62"/>
  <c r="N65" i="62"/>
  <c r="AF65" i="62"/>
  <c r="AE65" i="62"/>
  <c r="Q74" i="62"/>
  <c r="P74" i="62"/>
  <c r="Q33" i="62"/>
  <c r="P33" i="62"/>
  <c r="N25" i="62"/>
  <c r="AF25" i="62"/>
  <c r="AE25" i="62"/>
  <c r="Q28" i="62"/>
  <c r="P28" i="62"/>
  <c r="N23" i="62"/>
  <c r="AF23" i="62"/>
  <c r="AE23" i="62"/>
  <c r="M31" i="62"/>
  <c r="AF44" i="62"/>
  <c r="AE44" i="62"/>
  <c r="N44" i="62"/>
  <c r="N50" i="62"/>
  <c r="AF50" i="62"/>
  <c r="AE50" i="62"/>
  <c r="N55" i="62"/>
  <c r="AF55" i="62"/>
  <c r="AE55" i="62"/>
  <c r="AF63" i="62"/>
  <c r="AE63" i="62"/>
  <c r="N63" i="62"/>
  <c r="N68" i="62"/>
  <c r="AF68" i="62"/>
  <c r="AE68" i="62"/>
  <c r="M76" i="62"/>
  <c r="N70" i="62"/>
  <c r="AF70" i="62"/>
  <c r="AE70" i="62"/>
  <c r="Q56" i="62"/>
  <c r="P56" i="62"/>
  <c r="N66" i="62"/>
  <c r="AF66" i="62"/>
  <c r="AE66" i="62"/>
  <c r="AF5" i="62"/>
  <c r="AF6" i="62"/>
  <c r="AF8" i="62"/>
  <c r="M11" i="62"/>
  <c r="M16" i="62"/>
  <c r="AF34" i="62"/>
  <c r="AF36" i="62"/>
  <c r="M39" i="62"/>
  <c r="AF57" i="62"/>
  <c r="AF75" i="62"/>
  <c r="N12" i="62"/>
  <c r="N17" i="62"/>
  <c r="N18" i="62"/>
  <c r="AE29" i="62"/>
  <c r="AF29" i="62"/>
  <c r="E6" i="61"/>
  <c r="G6" i="61"/>
  <c r="N8" i="62"/>
  <c r="N10" i="62"/>
  <c r="N13" i="62"/>
  <c r="N15" i="62"/>
  <c r="N38" i="62"/>
  <c r="N41" i="62"/>
  <c r="N59" i="62"/>
  <c r="N5" i="62"/>
  <c r="N6" i="62"/>
  <c r="N34" i="62"/>
  <c r="N36" i="62"/>
  <c r="N57" i="62"/>
  <c r="N75" i="62"/>
  <c r="P7" i="62"/>
  <c r="P9" i="62"/>
  <c r="P32" i="62"/>
  <c r="P35" i="62"/>
  <c r="P37" i="62"/>
  <c r="P58" i="62"/>
  <c r="AE17" i="62"/>
  <c r="AE18" i="62"/>
  <c r="AE43" i="62"/>
  <c r="AE45" i="62"/>
  <c r="AF17" i="62"/>
  <c r="AE42" i="62"/>
  <c r="M48" i="62"/>
  <c r="AE60" i="62"/>
  <c r="AE10" i="62"/>
  <c r="AE12" i="62"/>
  <c r="AE13" i="62"/>
  <c r="AE15" i="62"/>
  <c r="AE38" i="62"/>
  <c r="AE40" i="62"/>
  <c r="AE41" i="62"/>
  <c r="AE59" i="62"/>
  <c r="AE7" i="62"/>
  <c r="AE9" i="62"/>
  <c r="AE14" i="62"/>
  <c r="AE37" i="62"/>
  <c r="AE58" i="62"/>
  <c r="AD78" i="60"/>
  <c r="Z78" i="60"/>
  <c r="Y78" i="60"/>
  <c r="M18" i="59" s="1"/>
  <c r="O78" i="60"/>
  <c r="K78" i="60"/>
  <c r="AF77" i="60"/>
  <c r="V77" i="60"/>
  <c r="U77" i="60"/>
  <c r="O77" i="60"/>
  <c r="N77" i="60"/>
  <c r="Q77" i="60" s="1"/>
  <c r="M77" i="60"/>
  <c r="AE77" i="60" s="1"/>
  <c r="K77" i="60"/>
  <c r="G77" i="60"/>
  <c r="V76" i="60"/>
  <c r="U76" i="60"/>
  <c r="O76" i="60"/>
  <c r="M76" i="60"/>
  <c r="N76" i="60" s="1"/>
  <c r="K76" i="60"/>
  <c r="G76" i="60"/>
  <c r="V75" i="60"/>
  <c r="U75" i="60"/>
  <c r="O75" i="60"/>
  <c r="M75" i="60"/>
  <c r="N75" i="60" s="1"/>
  <c r="K75" i="60"/>
  <c r="G75" i="60"/>
  <c r="X74" i="60"/>
  <c r="W74" i="60"/>
  <c r="V74" i="60"/>
  <c r="U74" i="60"/>
  <c r="O74" i="60"/>
  <c r="M74" i="60"/>
  <c r="N74" i="60" s="1"/>
  <c r="K74" i="60"/>
  <c r="G74" i="60"/>
  <c r="V73" i="60"/>
  <c r="U73" i="60"/>
  <c r="O73" i="60"/>
  <c r="M73" i="60"/>
  <c r="N73" i="60" s="1"/>
  <c r="K73" i="60"/>
  <c r="G73" i="60"/>
  <c r="V72" i="60"/>
  <c r="M72" i="60" s="1"/>
  <c r="U72" i="60"/>
  <c r="O72" i="60"/>
  <c r="K72" i="60"/>
  <c r="G72" i="60"/>
  <c r="AF71" i="60"/>
  <c r="AE71" i="60"/>
  <c r="V71" i="60"/>
  <c r="U71" i="60"/>
  <c r="O71" i="60"/>
  <c r="M71" i="60"/>
  <c r="N71" i="60" s="1"/>
  <c r="K71" i="60"/>
  <c r="G71" i="60"/>
  <c r="X70" i="60"/>
  <c r="W70" i="60"/>
  <c r="V70" i="60"/>
  <c r="O70" i="60"/>
  <c r="M70" i="60"/>
  <c r="N70" i="60" s="1"/>
  <c r="K70" i="60"/>
  <c r="G70" i="60"/>
  <c r="AD69" i="60"/>
  <c r="Z69" i="60"/>
  <c r="J19" i="59" s="1"/>
  <c r="Y69" i="60"/>
  <c r="O69" i="60"/>
  <c r="K69" i="60"/>
  <c r="AF68" i="60"/>
  <c r="AE68" i="60"/>
  <c r="V68" i="60"/>
  <c r="U68" i="60"/>
  <c r="O68" i="60"/>
  <c r="M68" i="60"/>
  <c r="N68" i="60" s="1"/>
  <c r="K68" i="60"/>
  <c r="G68" i="60"/>
  <c r="V67" i="60"/>
  <c r="M67" i="60" s="1"/>
  <c r="U67" i="60"/>
  <c r="O67" i="60"/>
  <c r="K67" i="60"/>
  <c r="G67" i="60"/>
  <c r="V66" i="60"/>
  <c r="M66" i="60" s="1"/>
  <c r="U66" i="60"/>
  <c r="O66" i="60"/>
  <c r="K66" i="60"/>
  <c r="G66" i="60"/>
  <c r="V65" i="60"/>
  <c r="M65" i="60" s="1"/>
  <c r="U65" i="60"/>
  <c r="O65" i="60"/>
  <c r="K65" i="60"/>
  <c r="G65" i="60"/>
  <c r="V64" i="60"/>
  <c r="M64" i="60" s="1"/>
  <c r="O64" i="60"/>
  <c r="K64" i="60"/>
  <c r="G64" i="60"/>
  <c r="AD63" i="60"/>
  <c r="I21" i="59" s="1"/>
  <c r="Z63" i="60"/>
  <c r="I19" i="59" s="1"/>
  <c r="Y63" i="60"/>
  <c r="I18" i="59" s="1"/>
  <c r="O63" i="60"/>
  <c r="K63" i="60"/>
  <c r="V62" i="60"/>
  <c r="U62" i="60"/>
  <c r="O62" i="60"/>
  <c r="M62" i="60"/>
  <c r="AF62" i="60" s="1"/>
  <c r="K62" i="60"/>
  <c r="G62" i="60"/>
  <c r="V61" i="60"/>
  <c r="M61" i="60" s="1"/>
  <c r="U61" i="60"/>
  <c r="O61" i="60"/>
  <c r="K61" i="60"/>
  <c r="G61" i="60"/>
  <c r="V60" i="60"/>
  <c r="U60" i="60"/>
  <c r="P60" i="60"/>
  <c r="O60" i="60"/>
  <c r="N60" i="60"/>
  <c r="Q60" i="60" s="1"/>
  <c r="M60" i="60"/>
  <c r="AF60" i="60" s="1"/>
  <c r="K60" i="60"/>
  <c r="G60" i="60"/>
  <c r="AF59" i="60"/>
  <c r="V59" i="60"/>
  <c r="U59" i="60"/>
  <c r="O59" i="60"/>
  <c r="N59" i="60"/>
  <c r="Q59" i="60" s="1"/>
  <c r="M59" i="60"/>
  <c r="AE59" i="60" s="1"/>
  <c r="K59" i="60"/>
  <c r="G59" i="60"/>
  <c r="V58" i="60"/>
  <c r="U58" i="60"/>
  <c r="O58" i="60"/>
  <c r="M58" i="60"/>
  <c r="N58" i="60" s="1"/>
  <c r="K58" i="60"/>
  <c r="G58" i="60"/>
  <c r="V57" i="60"/>
  <c r="U57" i="60"/>
  <c r="O57" i="60"/>
  <c r="M57" i="60"/>
  <c r="N57" i="60" s="1"/>
  <c r="K57" i="60"/>
  <c r="G57" i="60"/>
  <c r="V56" i="60"/>
  <c r="O56" i="60"/>
  <c r="M56" i="60"/>
  <c r="M63" i="60" s="1"/>
  <c r="K56" i="60"/>
  <c r="G56" i="60"/>
  <c r="AD55" i="60"/>
  <c r="Z55" i="60"/>
  <c r="H19" i="59" s="1"/>
  <c r="Y55" i="60"/>
  <c r="O55" i="60"/>
  <c r="K55" i="60"/>
  <c r="AF54" i="60"/>
  <c r="AE54" i="60"/>
  <c r="V54" i="60"/>
  <c r="U54" i="60"/>
  <c r="O54" i="60"/>
  <c r="M54" i="60"/>
  <c r="N54" i="60" s="1"/>
  <c r="K54" i="60"/>
  <c r="G54" i="60"/>
  <c r="V53" i="60"/>
  <c r="M53" i="60" s="1"/>
  <c r="U53" i="60"/>
  <c r="O53" i="60"/>
  <c r="K53" i="60"/>
  <c r="G53" i="60"/>
  <c r="V52" i="60"/>
  <c r="M52" i="60" s="1"/>
  <c r="U52" i="60"/>
  <c r="O52" i="60"/>
  <c r="K52" i="60"/>
  <c r="G52" i="60"/>
  <c r="AF51" i="60"/>
  <c r="AE51" i="60"/>
  <c r="X51" i="60"/>
  <c r="W51" i="60"/>
  <c r="V51" i="60"/>
  <c r="O51" i="60"/>
  <c r="M51" i="60"/>
  <c r="N51" i="60" s="1"/>
  <c r="K51" i="60"/>
  <c r="G51" i="60"/>
  <c r="AD50" i="60"/>
  <c r="L21" i="59" s="1"/>
  <c r="Z50" i="60"/>
  <c r="L19" i="59" s="1"/>
  <c r="Y50" i="60"/>
  <c r="O50" i="60"/>
  <c r="K50" i="60"/>
  <c r="V49" i="60"/>
  <c r="M49" i="60" s="1"/>
  <c r="U49" i="60"/>
  <c r="O49" i="60"/>
  <c r="K49" i="60"/>
  <c r="G49" i="60"/>
  <c r="V48" i="60"/>
  <c r="M48" i="60" s="1"/>
  <c r="U48" i="60"/>
  <c r="O48" i="60"/>
  <c r="K48" i="60"/>
  <c r="G48" i="60"/>
  <c r="V47" i="60"/>
  <c r="M47" i="60" s="1"/>
  <c r="U47" i="60"/>
  <c r="O47" i="60"/>
  <c r="K47" i="60"/>
  <c r="G47" i="60"/>
  <c r="V46" i="60"/>
  <c r="U46" i="60"/>
  <c r="O46" i="60"/>
  <c r="M46" i="60"/>
  <c r="AF46" i="60" s="1"/>
  <c r="K46" i="60"/>
  <c r="G46" i="60"/>
  <c r="X45" i="60"/>
  <c r="W45" i="60"/>
  <c r="V45" i="60"/>
  <c r="M45" i="60" s="1"/>
  <c r="U45" i="60"/>
  <c r="O45" i="60"/>
  <c r="K45" i="60"/>
  <c r="G45" i="60"/>
  <c r="V44" i="60"/>
  <c r="U44" i="60"/>
  <c r="O44" i="60"/>
  <c r="M44" i="60"/>
  <c r="AF44" i="60" s="1"/>
  <c r="K44" i="60"/>
  <c r="G44" i="60"/>
  <c r="V43" i="60"/>
  <c r="M43" i="60" s="1"/>
  <c r="U43" i="60"/>
  <c r="O43" i="60"/>
  <c r="K43" i="60"/>
  <c r="G43" i="60"/>
  <c r="V42" i="60"/>
  <c r="U42" i="60"/>
  <c r="P42" i="60"/>
  <c r="O42" i="60"/>
  <c r="N42" i="60"/>
  <c r="Q42" i="60" s="1"/>
  <c r="M42" i="60"/>
  <c r="AF42" i="60" s="1"/>
  <c r="K42" i="60"/>
  <c r="G42" i="60"/>
  <c r="X41" i="60"/>
  <c r="W41" i="60"/>
  <c r="V41" i="60"/>
  <c r="O41" i="60"/>
  <c r="M41" i="60"/>
  <c r="AF41" i="60" s="1"/>
  <c r="K41" i="60"/>
  <c r="G41" i="60"/>
  <c r="AD40" i="60"/>
  <c r="Z40" i="60"/>
  <c r="K19" i="59" s="1"/>
  <c r="Y40" i="60"/>
  <c r="K18" i="59" s="1"/>
  <c r="O40" i="60"/>
  <c r="K40" i="60"/>
  <c r="V39" i="60"/>
  <c r="U39" i="60"/>
  <c r="P39" i="60"/>
  <c r="O39" i="60"/>
  <c r="N39" i="60"/>
  <c r="Q39" i="60" s="1"/>
  <c r="M39" i="60"/>
  <c r="AF39" i="60" s="1"/>
  <c r="K39" i="60"/>
  <c r="G39" i="60"/>
  <c r="AF38" i="60"/>
  <c r="V38" i="60"/>
  <c r="U38" i="60"/>
  <c r="O38" i="60"/>
  <c r="N38" i="60"/>
  <c r="Q38" i="60" s="1"/>
  <c r="M38" i="60"/>
  <c r="AE38" i="60" s="1"/>
  <c r="K38" i="60"/>
  <c r="G38" i="60"/>
  <c r="V37" i="60"/>
  <c r="U37" i="60"/>
  <c r="O37" i="60"/>
  <c r="M37" i="60"/>
  <c r="N37" i="60" s="1"/>
  <c r="K37" i="60"/>
  <c r="G37" i="60"/>
  <c r="V36" i="60"/>
  <c r="U36" i="60"/>
  <c r="O36" i="60"/>
  <c r="M36" i="60"/>
  <c r="N36" i="60" s="1"/>
  <c r="K36" i="60"/>
  <c r="G36" i="60"/>
  <c r="X35" i="60"/>
  <c r="W35" i="60"/>
  <c r="V35" i="60"/>
  <c r="U35" i="60"/>
  <c r="O35" i="60"/>
  <c r="M35" i="60"/>
  <c r="N35" i="60" s="1"/>
  <c r="K35" i="60"/>
  <c r="G35" i="60"/>
  <c r="V34" i="60"/>
  <c r="U34" i="60"/>
  <c r="O34" i="60"/>
  <c r="M34" i="60"/>
  <c r="N34" i="60" s="1"/>
  <c r="K34" i="60"/>
  <c r="G34" i="60"/>
  <c r="V33" i="60"/>
  <c r="M33" i="60" s="1"/>
  <c r="U33" i="60"/>
  <c r="O33" i="60"/>
  <c r="K33" i="60"/>
  <c r="G33" i="60"/>
  <c r="AF32" i="60"/>
  <c r="AE32" i="60"/>
  <c r="V32" i="60"/>
  <c r="U32" i="60"/>
  <c r="O32" i="60"/>
  <c r="M32" i="60"/>
  <c r="N32" i="60" s="1"/>
  <c r="K32" i="60"/>
  <c r="G32" i="60"/>
  <c r="X31" i="60"/>
  <c r="W31" i="60"/>
  <c r="V31" i="60"/>
  <c r="O31" i="60"/>
  <c r="M31" i="60"/>
  <c r="N31" i="60" s="1"/>
  <c r="K31" i="60"/>
  <c r="G31" i="60"/>
  <c r="AD30" i="60"/>
  <c r="G21" i="59" s="1"/>
  <c r="Z30" i="60"/>
  <c r="Y30" i="60"/>
  <c r="O30" i="60"/>
  <c r="K30" i="60"/>
  <c r="G13" i="59" s="1"/>
  <c r="AF29" i="60"/>
  <c r="AE29" i="60"/>
  <c r="V29" i="60"/>
  <c r="U29" i="60"/>
  <c r="O29" i="60"/>
  <c r="M29" i="60"/>
  <c r="N29" i="60" s="1"/>
  <c r="K29" i="60"/>
  <c r="G29" i="60"/>
  <c r="X28" i="60"/>
  <c r="W28" i="60"/>
  <c r="V28" i="60"/>
  <c r="M28" i="60" s="1"/>
  <c r="U28" i="60"/>
  <c r="O28" i="60"/>
  <c r="K28" i="60"/>
  <c r="G28" i="60"/>
  <c r="AF27" i="60"/>
  <c r="AE27" i="60"/>
  <c r="V27" i="60"/>
  <c r="U27" i="60"/>
  <c r="O27" i="60"/>
  <c r="M27" i="60"/>
  <c r="N27" i="60" s="1"/>
  <c r="K27" i="60"/>
  <c r="G27" i="60"/>
  <c r="V26" i="60"/>
  <c r="M26" i="60" s="1"/>
  <c r="U26" i="60"/>
  <c r="O26" i="60"/>
  <c r="K26" i="60"/>
  <c r="G26" i="60"/>
  <c r="V25" i="60"/>
  <c r="M25" i="60" s="1"/>
  <c r="U25" i="60"/>
  <c r="O25" i="60"/>
  <c r="K25" i="60"/>
  <c r="G25" i="60"/>
  <c r="V24" i="60"/>
  <c r="M24" i="60" s="1"/>
  <c r="U24" i="60"/>
  <c r="O24" i="60"/>
  <c r="K24" i="60"/>
  <c r="G24" i="60"/>
  <c r="V23" i="60"/>
  <c r="M23" i="60" s="1"/>
  <c r="O23" i="60"/>
  <c r="K23" i="60"/>
  <c r="G23" i="60"/>
  <c r="AD22" i="60"/>
  <c r="AD2" i="60" s="1"/>
  <c r="N6" i="59" s="1"/>
  <c r="Z22" i="60"/>
  <c r="Y22" i="60"/>
  <c r="F18" i="59" s="1"/>
  <c r="O22" i="60"/>
  <c r="K22" i="60"/>
  <c r="V21" i="60"/>
  <c r="U21" i="60"/>
  <c r="O21" i="60"/>
  <c r="M21" i="60"/>
  <c r="AF21" i="60" s="1"/>
  <c r="K21" i="60"/>
  <c r="G21" i="60"/>
  <c r="X20" i="60"/>
  <c r="W20" i="60"/>
  <c r="V20" i="60"/>
  <c r="M20" i="60" s="1"/>
  <c r="U20" i="60"/>
  <c r="O20" i="60"/>
  <c r="K20" i="60"/>
  <c r="G20" i="60"/>
  <c r="V19" i="60"/>
  <c r="U19" i="60"/>
  <c r="O19" i="60"/>
  <c r="M19" i="60"/>
  <c r="AF19" i="60" s="1"/>
  <c r="K19" i="60"/>
  <c r="G19" i="60"/>
  <c r="V18" i="60"/>
  <c r="M18" i="60" s="1"/>
  <c r="U18" i="60"/>
  <c r="O18" i="60"/>
  <c r="K18" i="60"/>
  <c r="G18" i="60"/>
  <c r="V17" i="60"/>
  <c r="M17" i="60" s="1"/>
  <c r="O17" i="60"/>
  <c r="K17" i="60"/>
  <c r="G17" i="60"/>
  <c r="AD16" i="60"/>
  <c r="Z16" i="60"/>
  <c r="Y16" i="60"/>
  <c r="O16" i="60"/>
  <c r="K16" i="60"/>
  <c r="AF15" i="60"/>
  <c r="V15" i="60"/>
  <c r="U15" i="60"/>
  <c r="O15" i="60"/>
  <c r="N15" i="60"/>
  <c r="Q15" i="60" s="1"/>
  <c r="M15" i="60"/>
  <c r="AE15" i="60" s="1"/>
  <c r="K15" i="60"/>
  <c r="G15" i="60"/>
  <c r="AE14" i="60"/>
  <c r="X14" i="60"/>
  <c r="W14" i="60"/>
  <c r="V14" i="60"/>
  <c r="U14" i="60"/>
  <c r="P14" i="60"/>
  <c r="O14" i="60"/>
  <c r="N14" i="60"/>
  <c r="Q14" i="60" s="1"/>
  <c r="M14" i="60"/>
  <c r="AF14" i="60" s="1"/>
  <c r="K14" i="60"/>
  <c r="G14" i="60"/>
  <c r="AF13" i="60"/>
  <c r="V13" i="60"/>
  <c r="U13" i="60"/>
  <c r="O13" i="60"/>
  <c r="N13" i="60"/>
  <c r="Q13" i="60" s="1"/>
  <c r="M13" i="60"/>
  <c r="AE13" i="60" s="1"/>
  <c r="K13" i="60"/>
  <c r="G13" i="60"/>
  <c r="X12" i="60"/>
  <c r="W12" i="60"/>
  <c r="V12" i="60"/>
  <c r="M12" i="60" s="1"/>
  <c r="O12" i="60"/>
  <c r="K12" i="60"/>
  <c r="G12" i="60"/>
  <c r="AD11" i="60"/>
  <c r="Z11" i="60"/>
  <c r="Z2" i="60" s="1"/>
  <c r="L6" i="59" s="1"/>
  <c r="Y11" i="60"/>
  <c r="O11" i="60"/>
  <c r="K11" i="60"/>
  <c r="AF10" i="60"/>
  <c r="V10" i="60"/>
  <c r="U10" i="60"/>
  <c r="O10" i="60"/>
  <c r="N10" i="60"/>
  <c r="Q10" i="60" s="1"/>
  <c r="M10" i="60"/>
  <c r="AE10" i="60" s="1"/>
  <c r="K10" i="60"/>
  <c r="G10" i="60"/>
  <c r="V9" i="60"/>
  <c r="U9" i="60"/>
  <c r="O9" i="60"/>
  <c r="M9" i="60"/>
  <c r="N9" i="60" s="1"/>
  <c r="K9" i="60"/>
  <c r="G9" i="60"/>
  <c r="X8" i="60"/>
  <c r="W8" i="60"/>
  <c r="V8" i="60"/>
  <c r="U8" i="60"/>
  <c r="O8" i="60"/>
  <c r="N8" i="60"/>
  <c r="Q8" i="60" s="1"/>
  <c r="M8" i="60"/>
  <c r="AF8" i="60" s="1"/>
  <c r="K8" i="60"/>
  <c r="G8" i="60"/>
  <c r="V7" i="60"/>
  <c r="U7" i="60"/>
  <c r="O7" i="60"/>
  <c r="M7" i="60"/>
  <c r="N7" i="60" s="1"/>
  <c r="K7" i="60"/>
  <c r="G7" i="60"/>
  <c r="V6" i="60"/>
  <c r="U6" i="60"/>
  <c r="O6" i="60"/>
  <c r="M6" i="60"/>
  <c r="N6" i="60" s="1"/>
  <c r="K6" i="60"/>
  <c r="G6" i="60"/>
  <c r="V5" i="60"/>
  <c r="O5" i="60"/>
  <c r="M5" i="60"/>
  <c r="N5" i="60" s="1"/>
  <c r="K5" i="60"/>
  <c r="G5" i="60"/>
  <c r="F1" i="60" s="1"/>
  <c r="H2" i="60"/>
  <c r="H1" i="60"/>
  <c r="D1" i="60"/>
  <c r="M22" i="59"/>
  <c r="L22" i="59"/>
  <c r="K22" i="59"/>
  <c r="J22" i="59"/>
  <c r="I22" i="59"/>
  <c r="H22" i="59"/>
  <c r="G22" i="59"/>
  <c r="F22" i="59"/>
  <c r="E22" i="59"/>
  <c r="D22" i="59"/>
  <c r="M21" i="59"/>
  <c r="K21" i="59"/>
  <c r="J21" i="59"/>
  <c r="H21" i="59"/>
  <c r="E21" i="59"/>
  <c r="D21" i="59"/>
  <c r="M20" i="59"/>
  <c r="L20" i="59"/>
  <c r="K20" i="59"/>
  <c r="J20" i="59"/>
  <c r="I20" i="59"/>
  <c r="H20" i="59"/>
  <c r="G20" i="59"/>
  <c r="F20" i="59"/>
  <c r="E20" i="59"/>
  <c r="D20" i="59"/>
  <c r="M19" i="59"/>
  <c r="G19" i="59"/>
  <c r="F19" i="59"/>
  <c r="E19" i="59"/>
  <c r="D19" i="59"/>
  <c r="L18" i="59"/>
  <c r="J18" i="59"/>
  <c r="H18" i="59"/>
  <c r="G18" i="59"/>
  <c r="E18" i="59"/>
  <c r="D18" i="59"/>
  <c r="M17" i="59"/>
  <c r="L17" i="59"/>
  <c r="K17" i="59"/>
  <c r="J17" i="59"/>
  <c r="I17" i="59"/>
  <c r="H17" i="59"/>
  <c r="G17" i="59"/>
  <c r="F17" i="59"/>
  <c r="E17" i="59"/>
  <c r="D17" i="59"/>
  <c r="M16" i="59"/>
  <c r="L16" i="59"/>
  <c r="K16" i="59"/>
  <c r="J16" i="59"/>
  <c r="I16" i="59"/>
  <c r="H16" i="59"/>
  <c r="G16" i="59"/>
  <c r="F16" i="59"/>
  <c r="E16" i="59"/>
  <c r="D16" i="59"/>
  <c r="M13" i="59"/>
  <c r="L13" i="59"/>
  <c r="K13" i="59"/>
  <c r="I6" i="59" s="1"/>
  <c r="J13" i="59"/>
  <c r="I13" i="59"/>
  <c r="H13" i="59"/>
  <c r="F13" i="59"/>
  <c r="E13" i="59"/>
  <c r="D13" i="59"/>
  <c r="M6" i="59"/>
  <c r="F3" i="59"/>
  <c r="C3" i="59"/>
  <c r="D15" i="65" l="1"/>
  <c r="G7" i="65"/>
  <c r="F7" i="65"/>
  <c r="E7" i="65"/>
  <c r="I7" i="65"/>
  <c r="I8" i="65"/>
  <c r="I14" i="63"/>
  <c r="I15" i="63" s="1"/>
  <c r="Q55" i="64"/>
  <c r="R48" i="64" s="1"/>
  <c r="P55" i="64"/>
  <c r="F14" i="63"/>
  <c r="F15" i="63" s="1"/>
  <c r="Q18" i="64"/>
  <c r="R14" i="64" s="1"/>
  <c r="P18" i="64"/>
  <c r="D2" i="64"/>
  <c r="Q8" i="64"/>
  <c r="R5" i="64" s="1"/>
  <c r="P8" i="64"/>
  <c r="D14" i="63"/>
  <c r="Q13" i="64"/>
  <c r="R9" i="64" s="1"/>
  <c r="P13" i="64"/>
  <c r="E14" i="63"/>
  <c r="E15" i="63" s="1"/>
  <c r="P42" i="64"/>
  <c r="L14" i="63"/>
  <c r="L15" i="63" s="1"/>
  <c r="Q42" i="64"/>
  <c r="R34" i="64" s="1"/>
  <c r="Q26" i="64"/>
  <c r="R19" i="64" s="1"/>
  <c r="P26" i="64"/>
  <c r="G14" i="63"/>
  <c r="G15" i="63" s="1"/>
  <c r="Q47" i="64"/>
  <c r="R43" i="64" s="1"/>
  <c r="P47" i="64"/>
  <c r="H14" i="63"/>
  <c r="H15" i="63" s="1"/>
  <c r="Q70" i="64"/>
  <c r="R62" i="64" s="1"/>
  <c r="P70" i="64"/>
  <c r="M14" i="63"/>
  <c r="M15" i="63" s="1"/>
  <c r="Q61" i="64"/>
  <c r="R56" i="64" s="1"/>
  <c r="P61" i="64"/>
  <c r="J14" i="63"/>
  <c r="J15" i="63" s="1"/>
  <c r="Q33" i="64"/>
  <c r="R27" i="64" s="1"/>
  <c r="K14" i="63"/>
  <c r="P33" i="64"/>
  <c r="Q34" i="62"/>
  <c r="P34" i="62"/>
  <c r="Q44" i="62"/>
  <c r="P44" i="62"/>
  <c r="Q73" i="62"/>
  <c r="P73" i="62"/>
  <c r="Q47" i="62"/>
  <c r="P47" i="62"/>
  <c r="Q26" i="62"/>
  <c r="P26" i="62"/>
  <c r="Q5" i="62"/>
  <c r="P5" i="62"/>
  <c r="Q18" i="62"/>
  <c r="P18" i="62"/>
  <c r="Q68" i="62"/>
  <c r="P68" i="62"/>
  <c r="Q19" i="62"/>
  <c r="P19" i="62"/>
  <c r="Q59" i="62"/>
  <c r="P59" i="62"/>
  <c r="Q63" i="62"/>
  <c r="P63" i="62"/>
  <c r="AE31" i="62"/>
  <c r="N31" i="62"/>
  <c r="AF31" i="62"/>
  <c r="AG23" i="62" s="1"/>
  <c r="Q27" i="62"/>
  <c r="P27" i="62"/>
  <c r="Q51" i="62"/>
  <c r="P51" i="62"/>
  <c r="Q17" i="62"/>
  <c r="P17" i="62"/>
  <c r="Q41" i="62"/>
  <c r="P41" i="62"/>
  <c r="Q12" i="62"/>
  <c r="P12" i="62"/>
  <c r="Q20" i="62"/>
  <c r="P20" i="62"/>
  <c r="N53" i="62"/>
  <c r="AF53" i="62"/>
  <c r="AG49" i="62" s="1"/>
  <c r="AE53" i="62"/>
  <c r="Q6" i="62"/>
  <c r="P6" i="62"/>
  <c r="P69" i="62"/>
  <c r="Q69" i="62"/>
  <c r="P49" i="62"/>
  <c r="Q49" i="62"/>
  <c r="Q15" i="62"/>
  <c r="P15" i="62"/>
  <c r="Q23" i="62"/>
  <c r="P23" i="62"/>
  <c r="Q65" i="62"/>
  <c r="P65" i="62"/>
  <c r="Q62" i="62"/>
  <c r="P62" i="62"/>
  <c r="Q54" i="62"/>
  <c r="P54" i="62"/>
  <c r="Q13" i="62"/>
  <c r="P13" i="62"/>
  <c r="AF39" i="62"/>
  <c r="AG32" i="62" s="1"/>
  <c r="AE39" i="62"/>
  <c r="N39" i="62"/>
  <c r="AF61" i="62"/>
  <c r="AG54" i="62" s="1"/>
  <c r="AE61" i="62"/>
  <c r="N61" i="62"/>
  <c r="F14" i="61"/>
  <c r="F15" i="61" s="1"/>
  <c r="Q22" i="62"/>
  <c r="R17" i="62" s="1"/>
  <c r="P22" i="62"/>
  <c r="N48" i="62"/>
  <c r="AF48" i="62"/>
  <c r="AG40" i="62" s="1"/>
  <c r="AE48" i="62"/>
  <c r="Q10" i="62"/>
  <c r="P10" i="62"/>
  <c r="Q55" i="62"/>
  <c r="P55" i="62"/>
  <c r="N67" i="62"/>
  <c r="AF67" i="62"/>
  <c r="AG62" i="62" s="1"/>
  <c r="AE67" i="62"/>
  <c r="Q24" i="62"/>
  <c r="P24" i="62"/>
  <c r="P66" i="62"/>
  <c r="Q66" i="62"/>
  <c r="Q75" i="62"/>
  <c r="P75" i="62"/>
  <c r="Q8" i="62"/>
  <c r="P8" i="62"/>
  <c r="P52" i="62"/>
  <c r="Q52" i="62"/>
  <c r="Q46" i="62"/>
  <c r="P46" i="62"/>
  <c r="Q21" i="62"/>
  <c r="P21" i="62"/>
  <c r="Q57" i="62"/>
  <c r="P57" i="62"/>
  <c r="AF16" i="62"/>
  <c r="AG12" i="62" s="1"/>
  <c r="AE16" i="62"/>
  <c r="N16" i="62"/>
  <c r="Q70" i="62"/>
  <c r="P70" i="62"/>
  <c r="Q64" i="62"/>
  <c r="P64" i="62"/>
  <c r="Q71" i="62"/>
  <c r="P71" i="62"/>
  <c r="Q38" i="62"/>
  <c r="P38" i="62"/>
  <c r="Q36" i="62"/>
  <c r="P36" i="62"/>
  <c r="AF11" i="62"/>
  <c r="AG5" i="62" s="1"/>
  <c r="AE11" i="62"/>
  <c r="N11" i="62"/>
  <c r="AF76" i="62"/>
  <c r="AG68" i="62" s="1"/>
  <c r="AE76" i="62"/>
  <c r="N76" i="62"/>
  <c r="Q50" i="62"/>
  <c r="P50" i="62"/>
  <c r="P25" i="62"/>
  <c r="Q25" i="62"/>
  <c r="M22" i="60"/>
  <c r="AF17" i="60"/>
  <c r="AE17" i="60"/>
  <c r="N17" i="60"/>
  <c r="AF24" i="60"/>
  <c r="AE24" i="60"/>
  <c r="N24" i="60"/>
  <c r="P27" i="60"/>
  <c r="Q27" i="60"/>
  <c r="Q34" i="60"/>
  <c r="P34" i="60"/>
  <c r="AF65" i="60"/>
  <c r="AE65" i="60"/>
  <c r="N65" i="60"/>
  <c r="AF18" i="60"/>
  <c r="AE18" i="60"/>
  <c r="N18" i="60"/>
  <c r="Q36" i="60"/>
  <c r="P36" i="60"/>
  <c r="N49" i="60"/>
  <c r="AF49" i="60"/>
  <c r="AE49" i="60"/>
  <c r="N53" i="60"/>
  <c r="AF53" i="60"/>
  <c r="AE53" i="60"/>
  <c r="N25" i="60"/>
  <c r="AF25" i="60"/>
  <c r="AE25" i="60"/>
  <c r="Q31" i="60"/>
  <c r="P31" i="60"/>
  <c r="AF43" i="60"/>
  <c r="AE43" i="60"/>
  <c r="N43" i="60"/>
  <c r="AF47" i="60"/>
  <c r="AE47" i="60"/>
  <c r="N47" i="60"/>
  <c r="P54" i="60"/>
  <c r="Q54" i="60"/>
  <c r="Q58" i="60"/>
  <c r="P58" i="60"/>
  <c r="AF61" i="60"/>
  <c r="AE61" i="60"/>
  <c r="N61" i="60"/>
  <c r="Q74" i="60"/>
  <c r="P74" i="60"/>
  <c r="AF20" i="60"/>
  <c r="AE20" i="60"/>
  <c r="N20" i="60"/>
  <c r="AF63" i="60"/>
  <c r="AG56" i="60" s="1"/>
  <c r="AE63" i="60"/>
  <c r="N63" i="60"/>
  <c r="N66" i="60"/>
  <c r="AF66" i="60"/>
  <c r="AE66" i="60"/>
  <c r="P68" i="60"/>
  <c r="Q68" i="60"/>
  <c r="Q70" i="60"/>
  <c r="P70" i="60"/>
  <c r="AF23" i="60"/>
  <c r="M30" i="60"/>
  <c r="AE23" i="60"/>
  <c r="N23" i="60"/>
  <c r="Q35" i="60"/>
  <c r="P35" i="60"/>
  <c r="F2" i="60"/>
  <c r="I3" i="59"/>
  <c r="AE12" i="60"/>
  <c r="N12" i="60"/>
  <c r="M16" i="60"/>
  <c r="AF12" i="60"/>
  <c r="Q76" i="60"/>
  <c r="P76" i="60"/>
  <c r="Q7" i="60"/>
  <c r="P7" i="60"/>
  <c r="Q37" i="60"/>
  <c r="P37" i="60"/>
  <c r="AF64" i="60"/>
  <c r="M69" i="60"/>
  <c r="AE64" i="60"/>
  <c r="N64" i="60"/>
  <c r="N72" i="60"/>
  <c r="AF72" i="60"/>
  <c r="AE72" i="60"/>
  <c r="Q75" i="60"/>
  <c r="P75" i="60"/>
  <c r="Q6" i="60"/>
  <c r="P6" i="60"/>
  <c r="G6" i="59"/>
  <c r="F6" i="59"/>
  <c r="E6" i="59"/>
  <c r="N33" i="60"/>
  <c r="AF33" i="60"/>
  <c r="AE33" i="60"/>
  <c r="AF48" i="60"/>
  <c r="AE48" i="60"/>
  <c r="N48" i="60"/>
  <c r="N52" i="60"/>
  <c r="M55" i="60"/>
  <c r="AF52" i="60"/>
  <c r="AE52" i="60"/>
  <c r="N28" i="60"/>
  <c r="AF28" i="60"/>
  <c r="AE28" i="60"/>
  <c r="P51" i="60"/>
  <c r="Q51" i="60"/>
  <c r="P71" i="60"/>
  <c r="Q71" i="60"/>
  <c r="P29" i="60"/>
  <c r="Q29" i="60"/>
  <c r="AF45" i="60"/>
  <c r="AE45" i="60"/>
  <c r="N45" i="60"/>
  <c r="Q5" i="60"/>
  <c r="P5" i="60"/>
  <c r="N26" i="60"/>
  <c r="AF26" i="60"/>
  <c r="AE26" i="60"/>
  <c r="Q9" i="60"/>
  <c r="P9" i="60"/>
  <c r="P32" i="60"/>
  <c r="Q32" i="60"/>
  <c r="Q57" i="60"/>
  <c r="P57" i="60"/>
  <c r="N67" i="60"/>
  <c r="AF67" i="60"/>
  <c r="AE67" i="60"/>
  <c r="Q73" i="60"/>
  <c r="P73" i="60"/>
  <c r="AE7" i="60"/>
  <c r="AE9" i="60"/>
  <c r="AE37" i="60"/>
  <c r="AE58" i="60"/>
  <c r="AE76" i="60"/>
  <c r="F21" i="59"/>
  <c r="Y2" i="60"/>
  <c r="K6" i="59" s="1"/>
  <c r="AE5" i="60"/>
  <c r="AE6" i="60"/>
  <c r="AF7" i="60"/>
  <c r="AE8" i="60"/>
  <c r="AF9" i="60"/>
  <c r="AE34" i="60"/>
  <c r="AE36" i="60"/>
  <c r="AF37" i="60"/>
  <c r="M40" i="60"/>
  <c r="AE56" i="60"/>
  <c r="AE57" i="60"/>
  <c r="AF58" i="60"/>
  <c r="AE73" i="60"/>
  <c r="AE75" i="60"/>
  <c r="AF76" i="60"/>
  <c r="AF5" i="60"/>
  <c r="AF6" i="60"/>
  <c r="M11" i="60"/>
  <c r="N19" i="60"/>
  <c r="N21" i="60"/>
  <c r="AF34" i="60"/>
  <c r="AE35" i="60"/>
  <c r="AF36" i="60"/>
  <c r="N41" i="60"/>
  <c r="N44" i="60"/>
  <c r="N46" i="60"/>
  <c r="AF56" i="60"/>
  <c r="AF57" i="60"/>
  <c r="N62" i="60"/>
  <c r="AF73" i="60"/>
  <c r="AE74" i="60"/>
  <c r="AF75" i="60"/>
  <c r="M78" i="60"/>
  <c r="AE31" i="60"/>
  <c r="AF35" i="60"/>
  <c r="AE70" i="60"/>
  <c r="AF74" i="60"/>
  <c r="AF31" i="60"/>
  <c r="AF70" i="60"/>
  <c r="P8" i="60"/>
  <c r="P10" i="60"/>
  <c r="P13" i="60"/>
  <c r="P15" i="60"/>
  <c r="P38" i="60"/>
  <c r="N56" i="60"/>
  <c r="P59" i="60"/>
  <c r="P77" i="60"/>
  <c r="AE19" i="60"/>
  <c r="AE21" i="60"/>
  <c r="AE44" i="60"/>
  <c r="AE46" i="60"/>
  <c r="M50" i="60"/>
  <c r="AE62" i="60"/>
  <c r="AE39" i="60"/>
  <c r="AE41" i="60"/>
  <c r="AE42" i="60"/>
  <c r="AE60" i="60"/>
  <c r="AD74" i="58"/>
  <c r="Z74" i="58"/>
  <c r="Y74" i="58"/>
  <c r="O74" i="58"/>
  <c r="K74" i="58"/>
  <c r="AF73" i="58"/>
  <c r="V73" i="58"/>
  <c r="U73" i="58"/>
  <c r="O73" i="58"/>
  <c r="N73" i="58"/>
  <c r="Q73" i="58" s="1"/>
  <c r="M73" i="58"/>
  <c r="AE73" i="58" s="1"/>
  <c r="K73" i="58"/>
  <c r="G73" i="58"/>
  <c r="AF72" i="58"/>
  <c r="AE72" i="58"/>
  <c r="V72" i="58"/>
  <c r="U72" i="58"/>
  <c r="O72" i="58"/>
  <c r="M72" i="58"/>
  <c r="N72" i="58" s="1"/>
  <c r="K72" i="58"/>
  <c r="G72" i="58"/>
  <c r="V71" i="58"/>
  <c r="M71" i="58" s="1"/>
  <c r="U71" i="58"/>
  <c r="O71" i="58"/>
  <c r="K71" i="58"/>
  <c r="G71" i="58"/>
  <c r="AF70" i="58"/>
  <c r="AE70" i="58"/>
  <c r="X70" i="58"/>
  <c r="W70" i="58"/>
  <c r="V70" i="58"/>
  <c r="U70" i="58"/>
  <c r="O70" i="58"/>
  <c r="M70" i="58"/>
  <c r="N70" i="58" s="1"/>
  <c r="K70" i="58"/>
  <c r="G70" i="58"/>
  <c r="V69" i="58"/>
  <c r="M69" i="58" s="1"/>
  <c r="U69" i="58"/>
  <c r="O69" i="58"/>
  <c r="K69" i="58"/>
  <c r="G69" i="58"/>
  <c r="V68" i="58"/>
  <c r="M68" i="58" s="1"/>
  <c r="U68" i="58"/>
  <c r="O68" i="58"/>
  <c r="K68" i="58"/>
  <c r="G68" i="58"/>
  <c r="V67" i="58"/>
  <c r="M67" i="58" s="1"/>
  <c r="U67" i="58"/>
  <c r="O67" i="58"/>
  <c r="K67" i="58"/>
  <c r="G67" i="58"/>
  <c r="X66" i="58"/>
  <c r="W66" i="58"/>
  <c r="V66" i="58"/>
  <c r="M66" i="58" s="1"/>
  <c r="O66" i="58"/>
  <c r="K66" i="58"/>
  <c r="G66" i="58"/>
  <c r="AD65" i="58"/>
  <c r="J21" i="57" s="1"/>
  <c r="Z65" i="58"/>
  <c r="J19" i="57" s="1"/>
  <c r="Y65" i="58"/>
  <c r="O65" i="58"/>
  <c r="K65" i="58"/>
  <c r="V64" i="58"/>
  <c r="M64" i="58" s="1"/>
  <c r="U64" i="58"/>
  <c r="O64" i="58"/>
  <c r="K64" i="58"/>
  <c r="G64" i="58"/>
  <c r="V63" i="58"/>
  <c r="M63" i="58" s="1"/>
  <c r="U63" i="58"/>
  <c r="O63" i="58"/>
  <c r="K63" i="58"/>
  <c r="G63" i="58"/>
  <c r="V62" i="58"/>
  <c r="M62" i="58" s="1"/>
  <c r="U62" i="58"/>
  <c r="O62" i="58"/>
  <c r="K62" i="58"/>
  <c r="G62" i="58"/>
  <c r="V61" i="58"/>
  <c r="M61" i="58" s="1"/>
  <c r="N61" i="58" s="1"/>
  <c r="U61" i="58"/>
  <c r="O61" i="58"/>
  <c r="K61" i="58"/>
  <c r="G61" i="58"/>
  <c r="V60" i="58"/>
  <c r="M60" i="58" s="1"/>
  <c r="N60" i="58" s="1"/>
  <c r="O60" i="58"/>
  <c r="K60" i="58"/>
  <c r="G60" i="58"/>
  <c r="AD59" i="58"/>
  <c r="I21" i="57" s="1"/>
  <c r="Z59" i="58"/>
  <c r="I19" i="57" s="1"/>
  <c r="Y59" i="58"/>
  <c r="I18" i="57" s="1"/>
  <c r="O59" i="58"/>
  <c r="K59" i="58"/>
  <c r="V58" i="58"/>
  <c r="U58" i="58"/>
  <c r="O58" i="58"/>
  <c r="M58" i="58"/>
  <c r="K58" i="58"/>
  <c r="G58" i="58"/>
  <c r="V57" i="58"/>
  <c r="U57" i="58"/>
  <c r="O57" i="58"/>
  <c r="M57" i="58"/>
  <c r="AF57" i="58" s="1"/>
  <c r="K57" i="58"/>
  <c r="G57" i="58"/>
  <c r="V56" i="58"/>
  <c r="U56" i="58"/>
  <c r="O56" i="58"/>
  <c r="M56" i="58"/>
  <c r="AF56" i="58" s="1"/>
  <c r="K56" i="58"/>
  <c r="G56" i="58"/>
  <c r="AF55" i="58"/>
  <c r="V55" i="58"/>
  <c r="U55" i="58"/>
  <c r="O55" i="58"/>
  <c r="N55" i="58"/>
  <c r="Q55" i="58" s="1"/>
  <c r="M55" i="58"/>
  <c r="AE55" i="58" s="1"/>
  <c r="K55" i="58"/>
  <c r="G55" i="58"/>
  <c r="AF54" i="58"/>
  <c r="AE54" i="58"/>
  <c r="V54" i="58"/>
  <c r="U54" i="58"/>
  <c r="O54" i="58"/>
  <c r="M54" i="58"/>
  <c r="N54" i="58" s="1"/>
  <c r="K54" i="58"/>
  <c r="G54" i="58"/>
  <c r="V53" i="58"/>
  <c r="M53" i="58" s="1"/>
  <c r="U53" i="58"/>
  <c r="O53" i="58"/>
  <c r="K53" i="58"/>
  <c r="G53" i="58"/>
  <c r="V52" i="58"/>
  <c r="M52" i="58" s="1"/>
  <c r="O52" i="58"/>
  <c r="K52" i="58"/>
  <c r="G52" i="58"/>
  <c r="AD51" i="58"/>
  <c r="H21" i="57" s="1"/>
  <c r="Z51" i="58"/>
  <c r="H19" i="57" s="1"/>
  <c r="Y51" i="58"/>
  <c r="O51" i="58"/>
  <c r="K51" i="58"/>
  <c r="V50" i="58"/>
  <c r="M50" i="58" s="1"/>
  <c r="U50" i="58"/>
  <c r="O50" i="58"/>
  <c r="K50" i="58"/>
  <c r="G50" i="58"/>
  <c r="V49" i="58"/>
  <c r="M49" i="58" s="1"/>
  <c r="U49" i="58"/>
  <c r="O49" i="58"/>
  <c r="K49" i="58"/>
  <c r="G49" i="58"/>
  <c r="V48" i="58"/>
  <c r="M48" i="58" s="1"/>
  <c r="U48" i="58"/>
  <c r="O48" i="58"/>
  <c r="K48" i="58"/>
  <c r="G48" i="58"/>
  <c r="X47" i="58"/>
  <c r="W47" i="58"/>
  <c r="V47" i="58"/>
  <c r="M47" i="58" s="1"/>
  <c r="O47" i="58"/>
  <c r="K47" i="58"/>
  <c r="G47" i="58"/>
  <c r="AD46" i="58"/>
  <c r="L21" i="57" s="1"/>
  <c r="Z46" i="58"/>
  <c r="L19" i="57" s="1"/>
  <c r="Y46" i="58"/>
  <c r="Y2" i="58" s="1"/>
  <c r="K6" i="57" s="1"/>
  <c r="O46" i="58"/>
  <c r="K46" i="58"/>
  <c r="V45" i="58"/>
  <c r="M45" i="58" s="1"/>
  <c r="U45" i="58"/>
  <c r="O45" i="58"/>
  <c r="K45" i="58"/>
  <c r="G45" i="58"/>
  <c r="V44" i="58"/>
  <c r="M44" i="58" s="1"/>
  <c r="U44" i="58"/>
  <c r="O44" i="58"/>
  <c r="K44" i="58"/>
  <c r="G44" i="58"/>
  <c r="V43" i="58"/>
  <c r="U43" i="58"/>
  <c r="O43" i="58"/>
  <c r="M43" i="58"/>
  <c r="K43" i="58"/>
  <c r="G43" i="58"/>
  <c r="V42" i="58"/>
  <c r="U42" i="58"/>
  <c r="O42" i="58"/>
  <c r="M42" i="58"/>
  <c r="K42" i="58"/>
  <c r="G42" i="58"/>
  <c r="X41" i="58"/>
  <c r="W41" i="58"/>
  <c r="V41" i="58"/>
  <c r="U41" i="58"/>
  <c r="O41" i="58"/>
  <c r="M41" i="58"/>
  <c r="N41" i="58" s="1"/>
  <c r="K41" i="58"/>
  <c r="G41" i="58"/>
  <c r="V40" i="58"/>
  <c r="U40" i="58"/>
  <c r="O40" i="58"/>
  <c r="M40" i="58"/>
  <c r="K40" i="58"/>
  <c r="G40" i="58"/>
  <c r="V39" i="58"/>
  <c r="U39" i="58"/>
  <c r="O39" i="58"/>
  <c r="M39" i="58"/>
  <c r="AF39" i="58" s="1"/>
  <c r="K39" i="58"/>
  <c r="G39" i="58"/>
  <c r="V38" i="58"/>
  <c r="U38" i="58"/>
  <c r="O38" i="58"/>
  <c r="M38" i="58"/>
  <c r="AF38" i="58" s="1"/>
  <c r="K38" i="58"/>
  <c r="G38" i="58"/>
  <c r="X37" i="58"/>
  <c r="W37" i="58"/>
  <c r="V37" i="58"/>
  <c r="O37" i="58"/>
  <c r="M37" i="58"/>
  <c r="K37" i="58"/>
  <c r="G37" i="58"/>
  <c r="AD36" i="58"/>
  <c r="Z36" i="58"/>
  <c r="Y36" i="58"/>
  <c r="O36" i="58"/>
  <c r="M36" i="58"/>
  <c r="K36" i="58"/>
  <c r="V35" i="58"/>
  <c r="U35" i="58"/>
  <c r="O35" i="58"/>
  <c r="M35" i="58"/>
  <c r="AF35" i="58" s="1"/>
  <c r="K35" i="58"/>
  <c r="G35" i="58"/>
  <c r="AF34" i="58"/>
  <c r="V34" i="58"/>
  <c r="U34" i="58"/>
  <c r="O34" i="58"/>
  <c r="N34" i="58"/>
  <c r="Q34" i="58" s="1"/>
  <c r="M34" i="58"/>
  <c r="AE34" i="58" s="1"/>
  <c r="K34" i="58"/>
  <c r="G34" i="58"/>
  <c r="AF33" i="58"/>
  <c r="AE33" i="58"/>
  <c r="V33" i="58"/>
  <c r="U33" i="58"/>
  <c r="O33" i="58"/>
  <c r="M33" i="58"/>
  <c r="N33" i="58" s="1"/>
  <c r="K33" i="58"/>
  <c r="G33" i="58"/>
  <c r="AF32" i="58"/>
  <c r="AE32" i="58"/>
  <c r="X32" i="58"/>
  <c r="W32" i="58"/>
  <c r="V32" i="58"/>
  <c r="U32" i="58"/>
  <c r="O32" i="58"/>
  <c r="N32" i="58"/>
  <c r="Q32" i="58" s="1"/>
  <c r="M32" i="58"/>
  <c r="K32" i="58"/>
  <c r="G32" i="58"/>
  <c r="AF31" i="58"/>
  <c r="AE31" i="58"/>
  <c r="V31" i="58"/>
  <c r="U31" i="58"/>
  <c r="O31" i="58"/>
  <c r="M31" i="58"/>
  <c r="N31" i="58" s="1"/>
  <c r="K31" i="58"/>
  <c r="G31" i="58"/>
  <c r="AE30" i="58"/>
  <c r="V30" i="58"/>
  <c r="M30" i="58" s="1"/>
  <c r="U30" i="58"/>
  <c r="O30" i="58"/>
  <c r="K30" i="58"/>
  <c r="G30" i="58"/>
  <c r="V29" i="58"/>
  <c r="M29" i="58" s="1"/>
  <c r="U29" i="58"/>
  <c r="O29" i="58"/>
  <c r="K29" i="58"/>
  <c r="G29" i="58"/>
  <c r="AF28" i="58"/>
  <c r="AE28" i="58"/>
  <c r="X28" i="58"/>
  <c r="W28" i="58"/>
  <c r="V28" i="58"/>
  <c r="O28" i="58"/>
  <c r="M28" i="58"/>
  <c r="N28" i="58" s="1"/>
  <c r="K28" i="58"/>
  <c r="G28" i="58"/>
  <c r="AD27" i="58"/>
  <c r="AD2" i="58" s="1"/>
  <c r="N6" i="57" s="1"/>
  <c r="Z27" i="58"/>
  <c r="Y27" i="58"/>
  <c r="O27" i="58"/>
  <c r="K27" i="58"/>
  <c r="V26" i="58"/>
  <c r="M26" i="58" s="1"/>
  <c r="U26" i="58"/>
  <c r="O26" i="58"/>
  <c r="K26" i="58"/>
  <c r="G26" i="58"/>
  <c r="V25" i="58"/>
  <c r="M25" i="58" s="1"/>
  <c r="U25" i="58"/>
  <c r="O25" i="58"/>
  <c r="K25" i="58"/>
  <c r="G25" i="58"/>
  <c r="V24" i="58"/>
  <c r="M24" i="58" s="1"/>
  <c r="U24" i="58"/>
  <c r="O24" i="58"/>
  <c r="K24" i="58"/>
  <c r="G24" i="58"/>
  <c r="V23" i="58"/>
  <c r="M23" i="58" s="1"/>
  <c r="U23" i="58"/>
  <c r="O23" i="58"/>
  <c r="K23" i="58"/>
  <c r="G23" i="58"/>
  <c r="V22" i="58"/>
  <c r="M22" i="58" s="1"/>
  <c r="U22" i="58"/>
  <c r="O22" i="58"/>
  <c r="N22" i="58"/>
  <c r="K22" i="58"/>
  <c r="G22" i="58"/>
  <c r="V21" i="58"/>
  <c r="M21" i="58" s="1"/>
  <c r="O21" i="58"/>
  <c r="K21" i="58"/>
  <c r="G21" i="58"/>
  <c r="AD20" i="58"/>
  <c r="Z20" i="58"/>
  <c r="Y20" i="58"/>
  <c r="O20" i="58"/>
  <c r="K20" i="58"/>
  <c r="V19" i="58"/>
  <c r="U19" i="58"/>
  <c r="O19" i="58"/>
  <c r="N19" i="58"/>
  <c r="M19" i="58"/>
  <c r="K19" i="58"/>
  <c r="G19" i="58"/>
  <c r="X18" i="58"/>
  <c r="W18" i="58"/>
  <c r="V18" i="58"/>
  <c r="U18" i="58"/>
  <c r="O18" i="58"/>
  <c r="N18" i="58"/>
  <c r="M18" i="58"/>
  <c r="K18" i="58"/>
  <c r="G18" i="58"/>
  <c r="V17" i="58"/>
  <c r="U17" i="58"/>
  <c r="O17" i="58"/>
  <c r="M17" i="58"/>
  <c r="K17" i="58"/>
  <c r="G17" i="58"/>
  <c r="V16" i="58"/>
  <c r="U16" i="58"/>
  <c r="O16" i="58"/>
  <c r="M16" i="58"/>
  <c r="K16" i="58"/>
  <c r="G16" i="58"/>
  <c r="V15" i="58"/>
  <c r="O15" i="58"/>
  <c r="M15" i="58"/>
  <c r="K15" i="58"/>
  <c r="G15" i="58"/>
  <c r="AD14" i="58"/>
  <c r="Z14" i="58"/>
  <c r="Y14" i="58"/>
  <c r="O14" i="58"/>
  <c r="M14" i="58"/>
  <c r="K14" i="58"/>
  <c r="E13" i="57" s="1"/>
  <c r="AF13" i="58"/>
  <c r="V13" i="58"/>
  <c r="U13" i="58"/>
  <c r="O13" i="58"/>
  <c r="N13" i="58"/>
  <c r="Q13" i="58" s="1"/>
  <c r="M13" i="58"/>
  <c r="AE13" i="58" s="1"/>
  <c r="K13" i="58"/>
  <c r="G13" i="58"/>
  <c r="AF12" i="58"/>
  <c r="AE12" i="58"/>
  <c r="V12" i="58"/>
  <c r="U12" i="58"/>
  <c r="O12" i="58"/>
  <c r="M12" i="58"/>
  <c r="N12" i="58" s="1"/>
  <c r="K12" i="58"/>
  <c r="G12" i="58"/>
  <c r="AF11" i="58"/>
  <c r="AE11" i="58"/>
  <c r="X11" i="58"/>
  <c r="W11" i="58"/>
  <c r="V11" i="58"/>
  <c r="U11" i="58"/>
  <c r="O11" i="58"/>
  <c r="N11" i="58"/>
  <c r="Q11" i="58" s="1"/>
  <c r="M11" i="58"/>
  <c r="K11" i="58"/>
  <c r="G11" i="58"/>
  <c r="AF10" i="58"/>
  <c r="AE10" i="58"/>
  <c r="V10" i="58"/>
  <c r="U10" i="58"/>
  <c r="O10" i="58"/>
  <c r="M10" i="58"/>
  <c r="N10" i="58" s="1"/>
  <c r="K10" i="58"/>
  <c r="G10" i="58"/>
  <c r="AF9" i="58"/>
  <c r="AE9" i="58"/>
  <c r="X9" i="58"/>
  <c r="W9" i="58"/>
  <c r="V9" i="58"/>
  <c r="O9" i="58"/>
  <c r="M9" i="58"/>
  <c r="N9" i="58" s="1"/>
  <c r="K9" i="58"/>
  <c r="G9" i="58"/>
  <c r="AD8" i="58"/>
  <c r="Z8" i="58"/>
  <c r="Y8" i="58"/>
  <c r="O8" i="58"/>
  <c r="K8" i="58"/>
  <c r="D13" i="57" s="1"/>
  <c r="G6" i="57" s="1"/>
  <c r="AF7" i="58"/>
  <c r="AE7" i="58"/>
  <c r="V7" i="58"/>
  <c r="U7" i="58"/>
  <c r="O7" i="58"/>
  <c r="M7" i="58"/>
  <c r="N7" i="58" s="1"/>
  <c r="K7" i="58"/>
  <c r="G7" i="58"/>
  <c r="V6" i="58"/>
  <c r="M6" i="58" s="1"/>
  <c r="N6" i="58" s="1"/>
  <c r="U6" i="58"/>
  <c r="O6" i="58"/>
  <c r="K6" i="58"/>
  <c r="G6" i="58"/>
  <c r="V5" i="58"/>
  <c r="M5" i="58" s="1"/>
  <c r="AE5" i="58" s="1"/>
  <c r="O5" i="58"/>
  <c r="K5" i="58"/>
  <c r="G5" i="58"/>
  <c r="Z2" i="58"/>
  <c r="L6" i="57" s="1"/>
  <c r="H2" i="58"/>
  <c r="H1" i="58"/>
  <c r="D1" i="58"/>
  <c r="M22" i="57"/>
  <c r="L22" i="57"/>
  <c r="K22" i="57"/>
  <c r="J22" i="57"/>
  <c r="I22" i="57"/>
  <c r="H22" i="57"/>
  <c r="G22" i="57"/>
  <c r="F22" i="57"/>
  <c r="E22" i="57"/>
  <c r="D22" i="57"/>
  <c r="M21" i="57"/>
  <c r="K21" i="57"/>
  <c r="F21" i="57"/>
  <c r="E21" i="57"/>
  <c r="D21" i="57"/>
  <c r="M20" i="57"/>
  <c r="L20" i="57"/>
  <c r="K20" i="57"/>
  <c r="J20" i="57"/>
  <c r="I20" i="57"/>
  <c r="H20" i="57"/>
  <c r="G20" i="57"/>
  <c r="F20" i="57"/>
  <c r="E20" i="57"/>
  <c r="D20" i="57"/>
  <c r="M19" i="57"/>
  <c r="K19" i="57"/>
  <c r="G19" i="57"/>
  <c r="F19" i="57"/>
  <c r="E19" i="57"/>
  <c r="D19" i="57"/>
  <c r="M18" i="57"/>
  <c r="L18" i="57"/>
  <c r="K18" i="57"/>
  <c r="J18" i="57"/>
  <c r="H18" i="57"/>
  <c r="G18" i="57"/>
  <c r="F18" i="57"/>
  <c r="E18" i="57"/>
  <c r="D18" i="57"/>
  <c r="M17" i="57"/>
  <c r="L17" i="57"/>
  <c r="K17" i="57"/>
  <c r="J17" i="57"/>
  <c r="I17" i="57"/>
  <c r="H17" i="57"/>
  <c r="G17" i="57"/>
  <c r="F17" i="57"/>
  <c r="E17" i="57"/>
  <c r="D17" i="57"/>
  <c r="M16" i="57"/>
  <c r="L16" i="57"/>
  <c r="K16" i="57"/>
  <c r="J16" i="57"/>
  <c r="I16" i="57"/>
  <c r="H16" i="57"/>
  <c r="G16" i="57"/>
  <c r="F16" i="57"/>
  <c r="E16" i="57"/>
  <c r="D16" i="57"/>
  <c r="M13" i="57"/>
  <c r="L13" i="57"/>
  <c r="K13" i="57"/>
  <c r="E6" i="57" s="1"/>
  <c r="J13" i="57"/>
  <c r="I13" i="57"/>
  <c r="F6" i="57" s="1"/>
  <c r="H13" i="57"/>
  <c r="G13" i="57"/>
  <c r="F13" i="57"/>
  <c r="M6" i="57"/>
  <c r="F3" i="57"/>
  <c r="C3" i="57"/>
  <c r="G8" i="65" l="1"/>
  <c r="F8" i="65"/>
  <c r="E8" i="65"/>
  <c r="G7" i="63"/>
  <c r="E7" i="63"/>
  <c r="D15" i="63"/>
  <c r="F7" i="63"/>
  <c r="K15" i="63"/>
  <c r="I8" i="63" s="1"/>
  <c r="I7" i="63"/>
  <c r="Q16" i="62"/>
  <c r="R12" i="62" s="1"/>
  <c r="E14" i="61"/>
  <c r="E15" i="61" s="1"/>
  <c r="P16" i="62"/>
  <c r="Q31" i="62"/>
  <c r="R23" i="62" s="1"/>
  <c r="P31" i="62"/>
  <c r="G14" i="61"/>
  <c r="G15" i="61" s="1"/>
  <c r="P48" i="62"/>
  <c r="L14" i="61"/>
  <c r="L15" i="61" s="1"/>
  <c r="Q48" i="62"/>
  <c r="R40" i="62" s="1"/>
  <c r="Q76" i="62"/>
  <c r="R68" i="62" s="1"/>
  <c r="P76" i="62"/>
  <c r="M14" i="61"/>
  <c r="M15" i="61" s="1"/>
  <c r="I14" i="61"/>
  <c r="I15" i="61" s="1"/>
  <c r="Q61" i="62"/>
  <c r="R54" i="62" s="1"/>
  <c r="P61" i="62"/>
  <c r="Q67" i="62"/>
  <c r="R62" i="62" s="1"/>
  <c r="P67" i="62"/>
  <c r="J14" i="61"/>
  <c r="J15" i="61" s="1"/>
  <c r="Q53" i="62"/>
  <c r="R49" i="62" s="1"/>
  <c r="P53" i="62"/>
  <c r="H14" i="61"/>
  <c r="H15" i="61" s="1"/>
  <c r="D2" i="62"/>
  <c r="Q11" i="62"/>
  <c r="R5" i="62" s="1"/>
  <c r="D14" i="61"/>
  <c r="P11" i="62"/>
  <c r="Q39" i="62"/>
  <c r="R32" i="62" s="1"/>
  <c r="K14" i="61"/>
  <c r="P39" i="62"/>
  <c r="Q56" i="60"/>
  <c r="P56" i="60"/>
  <c r="AF78" i="60"/>
  <c r="AG70" i="60" s="1"/>
  <c r="AE78" i="60"/>
  <c r="N78" i="60"/>
  <c r="AF40" i="60"/>
  <c r="AG31" i="60" s="1"/>
  <c r="AE40" i="60"/>
  <c r="N40" i="60"/>
  <c r="Q48" i="60"/>
  <c r="P48" i="60"/>
  <c r="N30" i="60"/>
  <c r="AF30" i="60"/>
  <c r="AG23" i="60" s="1"/>
  <c r="AE30" i="60"/>
  <c r="Q20" i="60"/>
  <c r="P20" i="60"/>
  <c r="Q47" i="60"/>
  <c r="P47" i="60"/>
  <c r="Q19" i="60"/>
  <c r="P19" i="60"/>
  <c r="Q72" i="60"/>
  <c r="P72" i="60"/>
  <c r="AF16" i="60"/>
  <c r="AG12" i="60" s="1"/>
  <c r="AE16" i="60"/>
  <c r="N16" i="60"/>
  <c r="Q62" i="60"/>
  <c r="P62" i="60"/>
  <c r="Q64" i="60"/>
  <c r="P64" i="60"/>
  <c r="Q12" i="60"/>
  <c r="P12" i="60"/>
  <c r="Q49" i="60"/>
  <c r="P49" i="60"/>
  <c r="Q53" i="60"/>
  <c r="P53" i="60"/>
  <c r="AF11" i="60"/>
  <c r="AG5" i="60" s="1"/>
  <c r="AE11" i="60"/>
  <c r="N11" i="60"/>
  <c r="N50" i="60"/>
  <c r="AF50" i="60"/>
  <c r="AG41" i="60" s="1"/>
  <c r="AE50" i="60"/>
  <c r="Q26" i="60"/>
  <c r="P26" i="60"/>
  <c r="Q33" i="60"/>
  <c r="P33" i="60"/>
  <c r="Q61" i="60"/>
  <c r="P61" i="60"/>
  <c r="Q24" i="60"/>
  <c r="P24" i="60"/>
  <c r="Q43" i="60"/>
  <c r="P43" i="60"/>
  <c r="N69" i="60"/>
  <c r="AF69" i="60"/>
  <c r="AG64" i="60" s="1"/>
  <c r="AE69" i="60"/>
  <c r="Q46" i="60"/>
  <c r="P46" i="60"/>
  <c r="Q28" i="60"/>
  <c r="P28" i="60"/>
  <c r="Q18" i="60"/>
  <c r="P18" i="60"/>
  <c r="Q21" i="60"/>
  <c r="P21" i="60"/>
  <c r="Q44" i="60"/>
  <c r="P44" i="60"/>
  <c r="Q67" i="60"/>
  <c r="P67" i="60"/>
  <c r="Q45" i="60"/>
  <c r="P45" i="60"/>
  <c r="Q66" i="60"/>
  <c r="P66" i="60"/>
  <c r="Q17" i="60"/>
  <c r="P17" i="60"/>
  <c r="Q41" i="60"/>
  <c r="P41" i="60"/>
  <c r="I14" i="59"/>
  <c r="I15" i="59" s="1"/>
  <c r="Q63" i="60"/>
  <c r="R56" i="60" s="1"/>
  <c r="P63" i="60"/>
  <c r="N55" i="60"/>
  <c r="AF55" i="60"/>
  <c r="AG51" i="60" s="1"/>
  <c r="AE55" i="60"/>
  <c r="Q23" i="60"/>
  <c r="P23" i="60"/>
  <c r="Q25" i="60"/>
  <c r="P25" i="60"/>
  <c r="Q65" i="60"/>
  <c r="P65" i="60"/>
  <c r="Q52" i="60"/>
  <c r="P52" i="60"/>
  <c r="AF22" i="60"/>
  <c r="AG17" i="60" s="1"/>
  <c r="AE22" i="60"/>
  <c r="N22" i="60"/>
  <c r="P61" i="58"/>
  <c r="Q61" i="58"/>
  <c r="P60" i="58"/>
  <c r="Q60" i="58"/>
  <c r="P41" i="58"/>
  <c r="Q41" i="58"/>
  <c r="N23" i="58"/>
  <c r="AF23" i="58"/>
  <c r="AE23" i="58"/>
  <c r="AF5" i="58"/>
  <c r="Q9" i="58"/>
  <c r="P9" i="58"/>
  <c r="N25" i="58"/>
  <c r="AE25" i="58"/>
  <c r="AF25" i="58"/>
  <c r="AF44" i="58"/>
  <c r="AE44" i="58"/>
  <c r="M59" i="58"/>
  <c r="N52" i="58"/>
  <c r="AF52" i="58"/>
  <c r="Q70" i="58"/>
  <c r="P70" i="58"/>
  <c r="N71" i="58"/>
  <c r="AF71" i="58"/>
  <c r="G21" i="57"/>
  <c r="N29" i="58"/>
  <c r="AE29" i="58"/>
  <c r="AF29" i="58"/>
  <c r="AE52" i="58"/>
  <c r="AE71" i="58"/>
  <c r="AF21" i="58"/>
  <c r="AE21" i="58"/>
  <c r="M27" i="58"/>
  <c r="AF41" i="58"/>
  <c r="AE41" i="58"/>
  <c r="N63" i="58"/>
  <c r="AF63" i="58"/>
  <c r="AE63" i="58"/>
  <c r="AF17" i="58"/>
  <c r="AE17" i="58"/>
  <c r="Q22" i="58"/>
  <c r="P22" i="58"/>
  <c r="Q28" i="58"/>
  <c r="P28" i="58"/>
  <c r="AF36" i="58"/>
  <c r="AG28" i="58" s="1"/>
  <c r="AE36" i="58"/>
  <c r="N36" i="58"/>
  <c r="AF43" i="58"/>
  <c r="AE43" i="58"/>
  <c r="N48" i="58"/>
  <c r="AF48" i="58"/>
  <c r="AE48" i="58"/>
  <c r="N66" i="58"/>
  <c r="M74" i="58"/>
  <c r="AE66" i="58"/>
  <c r="AF66" i="58"/>
  <c r="AF58" i="58"/>
  <c r="AE58" i="58"/>
  <c r="N58" i="58"/>
  <c r="M20" i="58"/>
  <c r="AF15" i="58"/>
  <c r="AE15" i="58"/>
  <c r="N15" i="58"/>
  <c r="N17" i="58"/>
  <c r="N43" i="58"/>
  <c r="N50" i="58"/>
  <c r="AE50" i="58"/>
  <c r="AF50" i="58"/>
  <c r="N68" i="58"/>
  <c r="AE68" i="58"/>
  <c r="AF68" i="58"/>
  <c r="AF60" i="58"/>
  <c r="M65" i="58"/>
  <c r="AE60" i="58"/>
  <c r="N62" i="58"/>
  <c r="AF62" i="58"/>
  <c r="AE62" i="58"/>
  <c r="Q72" i="58"/>
  <c r="P72" i="58"/>
  <c r="Q6" i="58"/>
  <c r="P6" i="58"/>
  <c r="Q12" i="58"/>
  <c r="P12" i="58"/>
  <c r="AF22" i="58"/>
  <c r="AE22" i="58"/>
  <c r="N26" i="58"/>
  <c r="AF26" i="58"/>
  <c r="AE26" i="58"/>
  <c r="Q33" i="58"/>
  <c r="P33" i="58"/>
  <c r="AF40" i="58"/>
  <c r="AE40" i="58"/>
  <c r="N40" i="58"/>
  <c r="N64" i="58"/>
  <c r="AE64" i="58"/>
  <c r="AF64" i="58"/>
  <c r="AE6" i="58"/>
  <c r="AF19" i="58"/>
  <c r="AE19" i="58"/>
  <c r="N24" i="58"/>
  <c r="AF24" i="58"/>
  <c r="AE24" i="58"/>
  <c r="N30" i="58"/>
  <c r="AF30" i="58"/>
  <c r="N45" i="58"/>
  <c r="AF45" i="58"/>
  <c r="AE45" i="58"/>
  <c r="N47" i="58"/>
  <c r="M51" i="58"/>
  <c r="AF47" i="58"/>
  <c r="AE47" i="58"/>
  <c r="N53" i="58"/>
  <c r="AF53" i="58"/>
  <c r="I6" i="57"/>
  <c r="F1" i="58"/>
  <c r="AF6" i="58"/>
  <c r="Q19" i="58"/>
  <c r="P19" i="58"/>
  <c r="AE53" i="58"/>
  <c r="N69" i="58"/>
  <c r="AF69" i="58"/>
  <c r="Q7" i="58"/>
  <c r="P7" i="58"/>
  <c r="AF14" i="58"/>
  <c r="AG9" i="58" s="1"/>
  <c r="AE14" i="58"/>
  <c r="N14" i="58"/>
  <c r="AF16" i="58"/>
  <c r="AE16" i="58"/>
  <c r="N16" i="58"/>
  <c r="N21" i="58"/>
  <c r="AF42" i="58"/>
  <c r="AE42" i="58"/>
  <c r="N42" i="58"/>
  <c r="AF18" i="58"/>
  <c r="AE18" i="58"/>
  <c r="AF37" i="58"/>
  <c r="AE37" i="58"/>
  <c r="M46" i="58"/>
  <c r="N37" i="58"/>
  <c r="N44" i="58"/>
  <c r="N49" i="58"/>
  <c r="AF49" i="58"/>
  <c r="AE49" i="58"/>
  <c r="AE69" i="58"/>
  <c r="N5" i="58"/>
  <c r="M8" i="58"/>
  <c r="Q10" i="58"/>
  <c r="P10" i="58"/>
  <c r="P18" i="58"/>
  <c r="Q18" i="58"/>
  <c r="Q31" i="58"/>
  <c r="P31" i="58"/>
  <c r="Q54" i="58"/>
  <c r="P54" i="58"/>
  <c r="AF61" i="58"/>
  <c r="AE61" i="58"/>
  <c r="N67" i="58"/>
  <c r="AE67" i="58"/>
  <c r="AF67" i="58"/>
  <c r="N35" i="58"/>
  <c r="N38" i="58"/>
  <c r="N56" i="58"/>
  <c r="N39" i="58"/>
  <c r="N57" i="58"/>
  <c r="P11" i="58"/>
  <c r="P13" i="58"/>
  <c r="P32" i="58"/>
  <c r="P34" i="58"/>
  <c r="P55" i="58"/>
  <c r="P73" i="58"/>
  <c r="AE39" i="58"/>
  <c r="AE57" i="58"/>
  <c r="AE35" i="58"/>
  <c r="AE38" i="58"/>
  <c r="AE56" i="58"/>
  <c r="AD67" i="56"/>
  <c r="Z67" i="56"/>
  <c r="Y67" i="56"/>
  <c r="O67" i="56"/>
  <c r="M67" i="56"/>
  <c r="AF67" i="56" s="1"/>
  <c r="AG61" i="56" s="1"/>
  <c r="K67" i="56"/>
  <c r="V66" i="56"/>
  <c r="U66" i="56"/>
  <c r="O66" i="56"/>
  <c r="M66" i="56"/>
  <c r="AE66" i="56" s="1"/>
  <c r="K66" i="56"/>
  <c r="G66" i="56"/>
  <c r="AF65" i="56"/>
  <c r="X65" i="56"/>
  <c r="W65" i="56"/>
  <c r="V65" i="56"/>
  <c r="U65" i="56"/>
  <c r="O65" i="56"/>
  <c r="M65" i="56"/>
  <c r="N65" i="56" s="1"/>
  <c r="K65" i="56"/>
  <c r="G65" i="56"/>
  <c r="V64" i="56"/>
  <c r="U64" i="56"/>
  <c r="O64" i="56"/>
  <c r="M64" i="56"/>
  <c r="AE64" i="56" s="1"/>
  <c r="K64" i="56"/>
  <c r="G64" i="56"/>
  <c r="AF63" i="56"/>
  <c r="V63" i="56"/>
  <c r="U63" i="56"/>
  <c r="P63" i="56"/>
  <c r="O63" i="56"/>
  <c r="N63" i="56"/>
  <c r="Q63" i="56" s="1"/>
  <c r="M63" i="56"/>
  <c r="AE63" i="56" s="1"/>
  <c r="K63" i="56"/>
  <c r="G63" i="56"/>
  <c r="AF62" i="56"/>
  <c r="AE62" i="56"/>
  <c r="V62" i="56"/>
  <c r="U62" i="56"/>
  <c r="O62" i="56"/>
  <c r="N62" i="56"/>
  <c r="Q62" i="56" s="1"/>
  <c r="M62" i="56"/>
  <c r="K62" i="56"/>
  <c r="G62" i="56"/>
  <c r="AF61" i="56"/>
  <c r="AE61" i="56"/>
  <c r="X61" i="56"/>
  <c r="W61" i="56"/>
  <c r="V61" i="56"/>
  <c r="O61" i="56"/>
  <c r="M61" i="56"/>
  <c r="N61" i="56" s="1"/>
  <c r="K61" i="56"/>
  <c r="G61" i="56"/>
  <c r="AD60" i="56"/>
  <c r="Z60" i="56"/>
  <c r="Y60" i="56"/>
  <c r="O60" i="56"/>
  <c r="K60" i="56"/>
  <c r="AF59" i="56"/>
  <c r="AE59" i="56"/>
  <c r="V59" i="56"/>
  <c r="U59" i="56"/>
  <c r="O59" i="56"/>
  <c r="N59" i="56"/>
  <c r="Q59" i="56" s="1"/>
  <c r="M59" i="56"/>
  <c r="K59" i="56"/>
  <c r="G59" i="56"/>
  <c r="V58" i="56"/>
  <c r="M58" i="56" s="1"/>
  <c r="U58" i="56"/>
  <c r="O58" i="56"/>
  <c r="K58" i="56"/>
  <c r="G58" i="56"/>
  <c r="V57" i="56"/>
  <c r="M57" i="56" s="1"/>
  <c r="U57" i="56"/>
  <c r="O57" i="56"/>
  <c r="K57" i="56"/>
  <c r="G57" i="56"/>
  <c r="V56" i="56"/>
  <c r="M56" i="56" s="1"/>
  <c r="U56" i="56"/>
  <c r="O56" i="56"/>
  <c r="K56" i="56"/>
  <c r="G56" i="56"/>
  <c r="V55" i="56"/>
  <c r="M55" i="56" s="1"/>
  <c r="O55" i="56"/>
  <c r="K55" i="56"/>
  <c r="G55" i="56"/>
  <c r="AD54" i="56"/>
  <c r="I21" i="55" s="1"/>
  <c r="Z54" i="56"/>
  <c r="Y54" i="56"/>
  <c r="I18" i="55" s="1"/>
  <c r="O54" i="56"/>
  <c r="K54" i="56"/>
  <c r="V53" i="56"/>
  <c r="M53" i="56" s="1"/>
  <c r="U53" i="56"/>
  <c r="O53" i="56"/>
  <c r="K53" i="56"/>
  <c r="G53" i="56"/>
  <c r="V52" i="56"/>
  <c r="M52" i="56" s="1"/>
  <c r="U52" i="56"/>
  <c r="O52" i="56"/>
  <c r="K52" i="56"/>
  <c r="G52" i="56"/>
  <c r="V51" i="56"/>
  <c r="U51" i="56"/>
  <c r="O51" i="56"/>
  <c r="M51" i="56"/>
  <c r="AF51" i="56" s="1"/>
  <c r="K51" i="56"/>
  <c r="G51" i="56"/>
  <c r="V50" i="56"/>
  <c r="U50" i="56"/>
  <c r="O50" i="56"/>
  <c r="M50" i="56"/>
  <c r="AF50" i="56" s="1"/>
  <c r="K50" i="56"/>
  <c r="G50" i="56"/>
  <c r="V49" i="56"/>
  <c r="U49" i="56"/>
  <c r="O49" i="56"/>
  <c r="M49" i="56"/>
  <c r="AF49" i="56" s="1"/>
  <c r="K49" i="56"/>
  <c r="G49" i="56"/>
  <c r="V48" i="56"/>
  <c r="U48" i="56"/>
  <c r="O48" i="56"/>
  <c r="M48" i="56"/>
  <c r="AE48" i="56" s="1"/>
  <c r="K48" i="56"/>
  <c r="G48" i="56"/>
  <c r="V47" i="56"/>
  <c r="O47" i="56"/>
  <c r="M47" i="56"/>
  <c r="AE47" i="56" s="1"/>
  <c r="K47" i="56"/>
  <c r="G47" i="56"/>
  <c r="AD46" i="56"/>
  <c r="Z46" i="56"/>
  <c r="Y46" i="56"/>
  <c r="O46" i="56"/>
  <c r="K46" i="56"/>
  <c r="AF45" i="56"/>
  <c r="AE45" i="56"/>
  <c r="V45" i="56"/>
  <c r="U45" i="56"/>
  <c r="O45" i="56"/>
  <c r="N45" i="56"/>
  <c r="Q45" i="56" s="1"/>
  <c r="M45" i="56"/>
  <c r="K45" i="56"/>
  <c r="G45" i="56"/>
  <c r="V44" i="56"/>
  <c r="M44" i="56" s="1"/>
  <c r="U44" i="56"/>
  <c r="O44" i="56"/>
  <c r="K44" i="56"/>
  <c r="G44" i="56"/>
  <c r="V43" i="56"/>
  <c r="M43" i="56" s="1"/>
  <c r="U43" i="56"/>
  <c r="O43" i="56"/>
  <c r="K43" i="56"/>
  <c r="G43" i="56"/>
  <c r="AF42" i="56"/>
  <c r="AE42" i="56"/>
  <c r="X42" i="56"/>
  <c r="W42" i="56"/>
  <c r="V42" i="56"/>
  <c r="O42" i="56"/>
  <c r="N42" i="56"/>
  <c r="Q42" i="56" s="1"/>
  <c r="M42" i="56"/>
  <c r="K42" i="56"/>
  <c r="G42" i="56"/>
  <c r="AD41" i="56"/>
  <c r="L21" i="55" s="1"/>
  <c r="Z41" i="56"/>
  <c r="Y41" i="56"/>
  <c r="O41" i="56"/>
  <c r="K41" i="56"/>
  <c r="V40" i="56"/>
  <c r="M40" i="56" s="1"/>
  <c r="U40" i="56"/>
  <c r="O40" i="56"/>
  <c r="K40" i="56"/>
  <c r="G40" i="56"/>
  <c r="X39" i="56"/>
  <c r="W39" i="56"/>
  <c r="V39" i="56"/>
  <c r="M39" i="56" s="1"/>
  <c r="U39" i="56"/>
  <c r="O39" i="56"/>
  <c r="K39" i="56"/>
  <c r="G39" i="56"/>
  <c r="V38" i="56"/>
  <c r="M38" i="56" s="1"/>
  <c r="U38" i="56"/>
  <c r="O38" i="56"/>
  <c r="K38" i="56"/>
  <c r="G38" i="56"/>
  <c r="V37" i="56"/>
  <c r="M37" i="56" s="1"/>
  <c r="U37" i="56"/>
  <c r="O37" i="56"/>
  <c r="K37" i="56"/>
  <c r="G37" i="56"/>
  <c r="V36" i="56"/>
  <c r="M36" i="56" s="1"/>
  <c r="U36" i="56"/>
  <c r="O36" i="56"/>
  <c r="K36" i="56"/>
  <c r="G36" i="56"/>
  <c r="X35" i="56"/>
  <c r="W35" i="56"/>
  <c r="V35" i="56"/>
  <c r="M35" i="56" s="1"/>
  <c r="O35" i="56"/>
  <c r="K35" i="56"/>
  <c r="G35" i="56"/>
  <c r="AD34" i="56"/>
  <c r="Z34" i="56"/>
  <c r="K19" i="55" s="1"/>
  <c r="Y34" i="56"/>
  <c r="O34" i="56"/>
  <c r="K34" i="56"/>
  <c r="V33" i="56"/>
  <c r="M33" i="56" s="1"/>
  <c r="U33" i="56"/>
  <c r="O33" i="56"/>
  <c r="K33" i="56"/>
  <c r="G33" i="56"/>
  <c r="V32" i="56"/>
  <c r="M32" i="56" s="1"/>
  <c r="U32" i="56"/>
  <c r="O32" i="56"/>
  <c r="K32" i="56"/>
  <c r="G32" i="56"/>
  <c r="X31" i="56"/>
  <c r="W31" i="56"/>
  <c r="V31" i="56"/>
  <c r="M31" i="56" s="1"/>
  <c r="U31" i="56"/>
  <c r="O31" i="56"/>
  <c r="K31" i="56"/>
  <c r="G31" i="56"/>
  <c r="V30" i="56"/>
  <c r="M30" i="56" s="1"/>
  <c r="U30" i="56"/>
  <c r="O30" i="56"/>
  <c r="K30" i="56"/>
  <c r="G30" i="56"/>
  <c r="V29" i="56"/>
  <c r="M29" i="56" s="1"/>
  <c r="U29" i="56"/>
  <c r="O29" i="56"/>
  <c r="K29" i="56"/>
  <c r="G29" i="56"/>
  <c r="V28" i="56"/>
  <c r="U28" i="56"/>
  <c r="O28" i="56"/>
  <c r="M28" i="56"/>
  <c r="AF28" i="56" s="1"/>
  <c r="K28" i="56"/>
  <c r="G28" i="56"/>
  <c r="X27" i="56"/>
  <c r="W27" i="56"/>
  <c r="V27" i="56"/>
  <c r="M27" i="56" s="1"/>
  <c r="O27" i="56"/>
  <c r="K27" i="56"/>
  <c r="G27" i="56"/>
  <c r="AD26" i="56"/>
  <c r="Z26" i="56"/>
  <c r="Y26" i="56"/>
  <c r="O26" i="56"/>
  <c r="K26" i="56"/>
  <c r="V25" i="56"/>
  <c r="U25" i="56"/>
  <c r="O25" i="56"/>
  <c r="M25" i="56"/>
  <c r="AF25" i="56" s="1"/>
  <c r="K25" i="56"/>
  <c r="G25" i="56"/>
  <c r="V24" i="56"/>
  <c r="U24" i="56"/>
  <c r="O24" i="56"/>
  <c r="M24" i="56"/>
  <c r="AF24" i="56" s="1"/>
  <c r="K24" i="56"/>
  <c r="G24" i="56"/>
  <c r="V23" i="56"/>
  <c r="U23" i="56"/>
  <c r="O23" i="56"/>
  <c r="N23" i="56"/>
  <c r="Q23" i="56" s="1"/>
  <c r="M23" i="56"/>
  <c r="AF23" i="56" s="1"/>
  <c r="K23" i="56"/>
  <c r="G23" i="56"/>
  <c r="V22" i="56"/>
  <c r="U22" i="56"/>
  <c r="O22" i="56"/>
  <c r="M22" i="56"/>
  <c r="AE22" i="56" s="1"/>
  <c r="K22" i="56"/>
  <c r="G22" i="56"/>
  <c r="F1" i="56" s="1"/>
  <c r="AF21" i="56"/>
  <c r="V21" i="56"/>
  <c r="U21" i="56"/>
  <c r="O21" i="56"/>
  <c r="N21" i="56"/>
  <c r="Q21" i="56" s="1"/>
  <c r="M21" i="56"/>
  <c r="AE21" i="56" s="1"/>
  <c r="K21" i="56"/>
  <c r="P21" i="56" s="1"/>
  <c r="G21" i="56"/>
  <c r="AF20" i="56"/>
  <c r="V20" i="56"/>
  <c r="O20" i="56"/>
  <c r="N20" i="56"/>
  <c r="Q20" i="56" s="1"/>
  <c r="M20" i="56"/>
  <c r="M26" i="56" s="1"/>
  <c r="K20" i="56"/>
  <c r="P20" i="56" s="1"/>
  <c r="G20" i="56"/>
  <c r="AD19" i="56"/>
  <c r="Z19" i="56"/>
  <c r="Y19" i="56"/>
  <c r="O19" i="56"/>
  <c r="K19" i="56"/>
  <c r="V18" i="56"/>
  <c r="M18" i="56" s="1"/>
  <c r="U18" i="56"/>
  <c r="O18" i="56"/>
  <c r="K18" i="56"/>
  <c r="G18" i="56"/>
  <c r="V17" i="56"/>
  <c r="M17" i="56" s="1"/>
  <c r="U17" i="56"/>
  <c r="O17" i="56"/>
  <c r="K17" i="56"/>
  <c r="G17" i="56"/>
  <c r="V16" i="56"/>
  <c r="M16" i="56" s="1"/>
  <c r="U16" i="56"/>
  <c r="O16" i="56"/>
  <c r="K16" i="56"/>
  <c r="G16" i="56"/>
  <c r="V15" i="56"/>
  <c r="M15" i="56" s="1"/>
  <c r="O15" i="56"/>
  <c r="K15" i="56"/>
  <c r="G15" i="56"/>
  <c r="AD14" i="56"/>
  <c r="Z14" i="56"/>
  <c r="E19" i="55" s="1"/>
  <c r="Y14" i="56"/>
  <c r="O14" i="56"/>
  <c r="K14" i="56"/>
  <c r="V13" i="56"/>
  <c r="M13" i="56" s="1"/>
  <c r="U13" i="56"/>
  <c r="O13" i="56"/>
  <c r="K13" i="56"/>
  <c r="G13" i="56"/>
  <c r="V12" i="56"/>
  <c r="M12" i="56" s="1"/>
  <c r="U12" i="56"/>
  <c r="O12" i="56"/>
  <c r="K12" i="56"/>
  <c r="G12" i="56"/>
  <c r="X11" i="56"/>
  <c r="W11" i="56"/>
  <c r="V11" i="56"/>
  <c r="M11" i="56" s="1"/>
  <c r="U11" i="56"/>
  <c r="O11" i="56"/>
  <c r="K11" i="56"/>
  <c r="G11" i="56"/>
  <c r="V10" i="56"/>
  <c r="M10" i="56" s="1"/>
  <c r="U10" i="56"/>
  <c r="O10" i="56"/>
  <c r="K10" i="56"/>
  <c r="G10" i="56"/>
  <c r="X9" i="56"/>
  <c r="W9" i="56"/>
  <c r="V9" i="56"/>
  <c r="M9" i="56" s="1"/>
  <c r="O9" i="56"/>
  <c r="K9" i="56"/>
  <c r="G9" i="56"/>
  <c r="AD8" i="56"/>
  <c r="AD2" i="56" s="1"/>
  <c r="N6" i="55" s="1"/>
  <c r="Z8" i="56"/>
  <c r="D19" i="55" s="1"/>
  <c r="Y8" i="56"/>
  <c r="Y2" i="56" s="1"/>
  <c r="K6" i="55" s="1"/>
  <c r="O8" i="56"/>
  <c r="K8" i="56"/>
  <c r="V7" i="56"/>
  <c r="M7" i="56" s="1"/>
  <c r="U7" i="56"/>
  <c r="O7" i="56"/>
  <c r="K7" i="56"/>
  <c r="G7" i="56"/>
  <c r="V6" i="56"/>
  <c r="U6" i="56"/>
  <c r="O6" i="56"/>
  <c r="M6" i="56"/>
  <c r="AF6" i="56" s="1"/>
  <c r="K6" i="56"/>
  <c r="G6" i="56"/>
  <c r="V5" i="56"/>
  <c r="O5" i="56"/>
  <c r="M5" i="56"/>
  <c r="M8" i="56" s="1"/>
  <c r="K5" i="56"/>
  <c r="G5" i="56"/>
  <c r="H2" i="56"/>
  <c r="H1" i="56"/>
  <c r="D1" i="56"/>
  <c r="M22" i="55"/>
  <c r="L22" i="55"/>
  <c r="K22" i="55"/>
  <c r="J22" i="55"/>
  <c r="I22" i="55"/>
  <c r="H22" i="55"/>
  <c r="G22" i="55"/>
  <c r="F22" i="55"/>
  <c r="E22" i="55"/>
  <c r="D22" i="55"/>
  <c r="M21" i="55"/>
  <c r="K21" i="55"/>
  <c r="J21" i="55"/>
  <c r="H21" i="55"/>
  <c r="G21" i="55"/>
  <c r="F21" i="55"/>
  <c r="E21" i="55"/>
  <c r="D21" i="55"/>
  <c r="M20" i="55"/>
  <c r="L20" i="55"/>
  <c r="K20" i="55"/>
  <c r="J20" i="55"/>
  <c r="I20" i="55"/>
  <c r="H20" i="55"/>
  <c r="G20" i="55"/>
  <c r="F20" i="55"/>
  <c r="E20" i="55"/>
  <c r="D20" i="55"/>
  <c r="M19" i="55"/>
  <c r="L19" i="55"/>
  <c r="J19" i="55"/>
  <c r="I19" i="55"/>
  <c r="H19" i="55"/>
  <c r="G19" i="55"/>
  <c r="F19" i="55"/>
  <c r="M18" i="55"/>
  <c r="L18" i="55"/>
  <c r="K18" i="55"/>
  <c r="J18" i="55"/>
  <c r="H18" i="55"/>
  <c r="G18" i="55"/>
  <c r="F18" i="55"/>
  <c r="E18" i="55"/>
  <c r="M17" i="55"/>
  <c r="L17" i="55"/>
  <c r="K17" i="55"/>
  <c r="J17" i="55"/>
  <c r="I17" i="55"/>
  <c r="H17" i="55"/>
  <c r="G17" i="55"/>
  <c r="F17" i="55"/>
  <c r="E17" i="55"/>
  <c r="D17" i="55"/>
  <c r="M16" i="55"/>
  <c r="L16" i="55"/>
  <c r="K16" i="55"/>
  <c r="J16" i="55"/>
  <c r="I16" i="55"/>
  <c r="H16" i="55"/>
  <c r="G16" i="55"/>
  <c r="F16" i="55"/>
  <c r="E16" i="55"/>
  <c r="D16" i="55"/>
  <c r="M13" i="55"/>
  <c r="L13" i="55"/>
  <c r="K13" i="55"/>
  <c r="I6" i="55" s="1"/>
  <c r="J13" i="55"/>
  <c r="I13" i="55"/>
  <c r="H13" i="55"/>
  <c r="G13" i="55"/>
  <c r="G6" i="55" s="1"/>
  <c r="F13" i="55"/>
  <c r="E13" i="55"/>
  <c r="D13" i="55"/>
  <c r="M6" i="55"/>
  <c r="F3" i="55"/>
  <c r="C3" i="55"/>
  <c r="G8" i="63" l="1"/>
  <c r="E8" i="63"/>
  <c r="F8" i="63"/>
  <c r="D15" i="61"/>
  <c r="G7" i="61"/>
  <c r="F7" i="61"/>
  <c r="E7" i="61"/>
  <c r="K15" i="61"/>
  <c r="I8" i="61" s="1"/>
  <c r="I7" i="61"/>
  <c r="Q16" i="60"/>
  <c r="R12" i="60" s="1"/>
  <c r="P16" i="60"/>
  <c r="E14" i="59"/>
  <c r="E15" i="59" s="1"/>
  <c r="Q40" i="60"/>
  <c r="R31" i="60" s="1"/>
  <c r="P40" i="60"/>
  <c r="K14" i="59"/>
  <c r="F14" i="59"/>
  <c r="F15" i="59" s="1"/>
  <c r="Q22" i="60"/>
  <c r="R17" i="60" s="1"/>
  <c r="P22" i="60"/>
  <c r="Q55" i="60"/>
  <c r="R51" i="60" s="1"/>
  <c r="P55" i="60"/>
  <c r="H14" i="59"/>
  <c r="H15" i="59" s="1"/>
  <c r="Q78" i="60"/>
  <c r="R70" i="60" s="1"/>
  <c r="P78" i="60"/>
  <c r="M14" i="59"/>
  <c r="M15" i="59" s="1"/>
  <c r="Q69" i="60"/>
  <c r="R64" i="60" s="1"/>
  <c r="P69" i="60"/>
  <c r="J14" i="59"/>
  <c r="J15" i="59" s="1"/>
  <c r="P50" i="60"/>
  <c r="L14" i="59"/>
  <c r="L15" i="59" s="1"/>
  <c r="Q50" i="60"/>
  <c r="R41" i="60" s="1"/>
  <c r="Q30" i="60"/>
  <c r="R23" i="60" s="1"/>
  <c r="P30" i="60"/>
  <c r="G14" i="59"/>
  <c r="G15" i="59" s="1"/>
  <c r="D2" i="60"/>
  <c r="Q11" i="60"/>
  <c r="R5" i="60" s="1"/>
  <c r="P11" i="60"/>
  <c r="D14" i="59"/>
  <c r="P67" i="58"/>
  <c r="Q67" i="58"/>
  <c r="Q45" i="58"/>
  <c r="P45" i="58"/>
  <c r="Q68" i="58"/>
  <c r="P68" i="58"/>
  <c r="N27" i="58"/>
  <c r="AF27" i="58"/>
  <c r="AG21" i="58" s="1"/>
  <c r="AE27" i="58"/>
  <c r="Q39" i="58"/>
  <c r="P39" i="58"/>
  <c r="Q37" i="58"/>
  <c r="P37" i="58"/>
  <c r="F2" i="58"/>
  <c r="I3" i="57"/>
  <c r="Q30" i="58"/>
  <c r="P30" i="58"/>
  <c r="Q52" i="58"/>
  <c r="P52" i="58"/>
  <c r="Q23" i="58"/>
  <c r="P23" i="58"/>
  <c r="Q56" i="58"/>
  <c r="P56" i="58"/>
  <c r="N46" i="58"/>
  <c r="AF46" i="58"/>
  <c r="AG37" i="58" s="1"/>
  <c r="AE46" i="58"/>
  <c r="Q14" i="58"/>
  <c r="R9" i="58" s="1"/>
  <c r="P14" i="58"/>
  <c r="E14" i="57"/>
  <c r="E15" i="57" s="1"/>
  <c r="P50" i="58"/>
  <c r="Q50" i="58"/>
  <c r="AF74" i="58"/>
  <c r="AG66" i="58" s="1"/>
  <c r="AE74" i="58"/>
  <c r="N74" i="58"/>
  <c r="AF59" i="58"/>
  <c r="AG52" i="58" s="1"/>
  <c r="AE59" i="58"/>
  <c r="N59" i="58"/>
  <c r="N65" i="58"/>
  <c r="AE65" i="58"/>
  <c r="AF65" i="58"/>
  <c r="AG60" i="58" s="1"/>
  <c r="Q36" i="58"/>
  <c r="R28" i="58" s="1"/>
  <c r="P36" i="58"/>
  <c r="K14" i="57"/>
  <c r="N51" i="58"/>
  <c r="AE51" i="58"/>
  <c r="AF51" i="58"/>
  <c r="AG47" i="58" s="1"/>
  <c r="Q69" i="58"/>
  <c r="P69" i="58"/>
  <c r="Q71" i="58"/>
  <c r="P71" i="58"/>
  <c r="Q16" i="58"/>
  <c r="P16" i="58"/>
  <c r="Q40" i="58"/>
  <c r="P40" i="58"/>
  <c r="Q57" i="58"/>
  <c r="P57" i="58"/>
  <c r="Q38" i="58"/>
  <c r="P38" i="58"/>
  <c r="P43" i="58"/>
  <c r="Q43" i="58"/>
  <c r="Q66" i="58"/>
  <c r="P66" i="58"/>
  <c r="Q35" i="58"/>
  <c r="P35" i="58"/>
  <c r="Q53" i="58"/>
  <c r="P53" i="58"/>
  <c r="Q24" i="58"/>
  <c r="P24" i="58"/>
  <c r="Q17" i="58"/>
  <c r="P17" i="58"/>
  <c r="Q5" i="58"/>
  <c r="P5" i="58"/>
  <c r="Q42" i="58"/>
  <c r="P42" i="58"/>
  <c r="P47" i="58"/>
  <c r="Q47" i="58"/>
  <c r="Q63" i="58"/>
  <c r="P63" i="58"/>
  <c r="Q21" i="58"/>
  <c r="P21" i="58"/>
  <c r="P64" i="58"/>
  <c r="Q64" i="58"/>
  <c r="Q62" i="58"/>
  <c r="P62" i="58"/>
  <c r="Q15" i="58"/>
  <c r="P15" i="58"/>
  <c r="AF20" i="58"/>
  <c r="AG15" i="58" s="1"/>
  <c r="AE20" i="58"/>
  <c r="N20" i="58"/>
  <c r="Q58" i="58"/>
  <c r="P58" i="58"/>
  <c r="Q49" i="58"/>
  <c r="P49" i="58"/>
  <c r="P44" i="58"/>
  <c r="Q44" i="58"/>
  <c r="AE8" i="58"/>
  <c r="N8" i="58"/>
  <c r="AF8" i="58"/>
  <c r="AG5" i="58" s="1"/>
  <c r="Q26" i="58"/>
  <c r="P26" i="58"/>
  <c r="Q48" i="58"/>
  <c r="P48" i="58"/>
  <c r="Q29" i="58"/>
  <c r="P29" i="58"/>
  <c r="P25" i="58"/>
  <c r="Q25" i="58"/>
  <c r="N8" i="56"/>
  <c r="AF8" i="56"/>
  <c r="AG5" i="56" s="1"/>
  <c r="AE8" i="56"/>
  <c r="N35" i="56"/>
  <c r="M41" i="56"/>
  <c r="AF35" i="56"/>
  <c r="AE35" i="56"/>
  <c r="AF7" i="56"/>
  <c r="AE7" i="56"/>
  <c r="N7" i="56"/>
  <c r="AF12" i="56"/>
  <c r="AE12" i="56"/>
  <c r="N12" i="56"/>
  <c r="N17" i="56"/>
  <c r="AF17" i="56"/>
  <c r="AE17" i="56"/>
  <c r="N15" i="56"/>
  <c r="M19" i="56"/>
  <c r="AF15" i="56"/>
  <c r="AE15" i="56"/>
  <c r="F2" i="56"/>
  <c r="I3" i="55"/>
  <c r="N36" i="56"/>
  <c r="AF36" i="56"/>
  <c r="AE36" i="56"/>
  <c r="N55" i="56"/>
  <c r="AF55" i="56"/>
  <c r="M60" i="56"/>
  <c r="AE55" i="56"/>
  <c r="N16" i="56"/>
  <c r="AF16" i="56"/>
  <c r="AE16" i="56"/>
  <c r="N43" i="56"/>
  <c r="M46" i="56"/>
  <c r="AF43" i="56"/>
  <c r="AE43" i="56"/>
  <c r="N9" i="56"/>
  <c r="M14" i="56"/>
  <c r="AF9" i="56"/>
  <c r="AE9" i="56"/>
  <c r="AF11" i="56"/>
  <c r="AE11" i="56"/>
  <c r="N11" i="56"/>
  <c r="AF13" i="56"/>
  <c r="AE13" i="56"/>
  <c r="N13" i="56"/>
  <c r="N18" i="56"/>
  <c r="AF18" i="56"/>
  <c r="AE18" i="56"/>
  <c r="AF30" i="56"/>
  <c r="AE30" i="56"/>
  <c r="N30" i="56"/>
  <c r="AF32" i="56"/>
  <c r="AE32" i="56"/>
  <c r="N32" i="56"/>
  <c r="N39" i="56"/>
  <c r="AF39" i="56"/>
  <c r="AE39" i="56"/>
  <c r="AF53" i="56"/>
  <c r="AE53" i="56"/>
  <c r="N53" i="56"/>
  <c r="N58" i="56"/>
  <c r="AF58" i="56"/>
  <c r="AE58" i="56"/>
  <c r="N37" i="56"/>
  <c r="AF37" i="56"/>
  <c r="AE37" i="56"/>
  <c r="Q65" i="56"/>
  <c r="P65" i="56"/>
  <c r="Q61" i="56"/>
  <c r="P61" i="56"/>
  <c r="N31" i="56"/>
  <c r="AF31" i="56"/>
  <c r="AE31" i="56"/>
  <c r="N33" i="56"/>
  <c r="AF33" i="56"/>
  <c r="AE33" i="56"/>
  <c r="AF27" i="56"/>
  <c r="M34" i="56"/>
  <c r="AE27" i="56"/>
  <c r="N27" i="56"/>
  <c r="N40" i="56"/>
  <c r="AF40" i="56"/>
  <c r="AE40" i="56"/>
  <c r="N56" i="56"/>
  <c r="AF56" i="56"/>
  <c r="AE56" i="56"/>
  <c r="AF10" i="56"/>
  <c r="AE10" i="56"/>
  <c r="N10" i="56"/>
  <c r="AF29" i="56"/>
  <c r="AE29" i="56"/>
  <c r="N29" i="56"/>
  <c r="N38" i="56"/>
  <c r="AF38" i="56"/>
  <c r="AE38" i="56"/>
  <c r="AF26" i="56"/>
  <c r="AG20" i="56" s="1"/>
  <c r="AE26" i="56"/>
  <c r="N26" i="56"/>
  <c r="N44" i="56"/>
  <c r="AF44" i="56"/>
  <c r="AE44" i="56"/>
  <c r="AF52" i="56"/>
  <c r="AE52" i="56"/>
  <c r="N52" i="56"/>
  <c r="N57" i="56"/>
  <c r="AF57" i="56"/>
  <c r="AE57" i="56"/>
  <c r="E6" i="55"/>
  <c r="F6" i="55"/>
  <c r="D18" i="55"/>
  <c r="AE20" i="56"/>
  <c r="AF22" i="56"/>
  <c r="AF47" i="56"/>
  <c r="AF48" i="56"/>
  <c r="AF64" i="56"/>
  <c r="AE65" i="56"/>
  <c r="AF66" i="56"/>
  <c r="N5" i="56"/>
  <c r="N6" i="56"/>
  <c r="N25" i="56"/>
  <c r="N28" i="56"/>
  <c r="N51" i="56"/>
  <c r="N24" i="56"/>
  <c r="N50" i="56"/>
  <c r="N67" i="56"/>
  <c r="N49" i="56"/>
  <c r="N22" i="56"/>
  <c r="N47" i="56"/>
  <c r="N48" i="56"/>
  <c r="N64" i="56"/>
  <c r="N66" i="56"/>
  <c r="P23" i="56"/>
  <c r="AE5" i="56"/>
  <c r="AE6" i="56"/>
  <c r="AE25" i="56"/>
  <c r="AE28" i="56"/>
  <c r="AE51" i="56"/>
  <c r="Z2" i="56"/>
  <c r="L6" i="55" s="1"/>
  <c r="AF5" i="56"/>
  <c r="AE24" i="56"/>
  <c r="P42" i="56"/>
  <c r="P45" i="56"/>
  <c r="AE50" i="56"/>
  <c r="M54" i="56"/>
  <c r="P59" i="56"/>
  <c r="P62" i="56"/>
  <c r="AE23" i="56"/>
  <c r="AE49" i="56"/>
  <c r="AE67" i="56"/>
  <c r="AD66" i="54"/>
  <c r="Z66" i="54"/>
  <c r="Y66" i="54"/>
  <c r="O66" i="54"/>
  <c r="K66" i="54"/>
  <c r="V65" i="54"/>
  <c r="U65" i="54"/>
  <c r="O65" i="54"/>
  <c r="M65" i="54"/>
  <c r="N65" i="54" s="1"/>
  <c r="K65" i="54"/>
  <c r="G65" i="54"/>
  <c r="X64" i="54"/>
  <c r="W64" i="54"/>
  <c r="V64" i="54"/>
  <c r="M64" i="54" s="1"/>
  <c r="U64" i="54"/>
  <c r="O64" i="54"/>
  <c r="K64" i="54"/>
  <c r="G64" i="54"/>
  <c r="V63" i="54"/>
  <c r="M63" i="54" s="1"/>
  <c r="N63" i="54" s="1"/>
  <c r="P63" i="54" s="1"/>
  <c r="U63" i="54"/>
  <c r="O63" i="54"/>
  <c r="K63" i="54"/>
  <c r="G63" i="54"/>
  <c r="AF62" i="54"/>
  <c r="V62" i="54"/>
  <c r="U62" i="54"/>
  <c r="O62" i="54"/>
  <c r="M62" i="54"/>
  <c r="AE62" i="54" s="1"/>
  <c r="K62" i="54"/>
  <c r="G62" i="54"/>
  <c r="V61" i="54"/>
  <c r="M61" i="54" s="1"/>
  <c r="N61" i="54" s="1"/>
  <c r="U61" i="54"/>
  <c r="O61" i="54"/>
  <c r="K61" i="54"/>
  <c r="G61" i="54"/>
  <c r="X60" i="54"/>
  <c r="W60" i="54"/>
  <c r="V60" i="54"/>
  <c r="M60" i="54" s="1"/>
  <c r="O60" i="54"/>
  <c r="K60" i="54"/>
  <c r="G60" i="54"/>
  <c r="AD59" i="54"/>
  <c r="Z59" i="54"/>
  <c r="Y59" i="54"/>
  <c r="J18" i="53" s="1"/>
  <c r="O59" i="54"/>
  <c r="K59" i="54"/>
  <c r="J13" i="53" s="1"/>
  <c r="V58" i="54"/>
  <c r="M58" i="54" s="1"/>
  <c r="N58" i="54" s="1"/>
  <c r="U58" i="54"/>
  <c r="Q58" i="54"/>
  <c r="P58" i="54"/>
  <c r="O58" i="54"/>
  <c r="K58" i="54"/>
  <c r="G58" i="54"/>
  <c r="V57" i="54"/>
  <c r="M57" i="54" s="1"/>
  <c r="U57" i="54"/>
  <c r="O57" i="54"/>
  <c r="K57" i="54"/>
  <c r="G57" i="54"/>
  <c r="V56" i="54"/>
  <c r="M56" i="54" s="1"/>
  <c r="N56" i="54" s="1"/>
  <c r="P56" i="54" s="1"/>
  <c r="U56" i="54"/>
  <c r="O56" i="54"/>
  <c r="K56" i="54"/>
  <c r="G56" i="54"/>
  <c r="AF55" i="54"/>
  <c r="V55" i="54"/>
  <c r="U55" i="54"/>
  <c r="O55" i="54"/>
  <c r="N55" i="54"/>
  <c r="Q55" i="54" s="1"/>
  <c r="M55" i="54"/>
  <c r="AE55" i="54" s="1"/>
  <c r="K55" i="54"/>
  <c r="G55" i="54"/>
  <c r="V54" i="54"/>
  <c r="O54" i="54"/>
  <c r="M54" i="54"/>
  <c r="N54" i="54" s="1"/>
  <c r="K54" i="54"/>
  <c r="G54" i="54"/>
  <c r="AD53" i="54"/>
  <c r="I21" i="53" s="1"/>
  <c r="Z53" i="54"/>
  <c r="Z2" i="54" s="1"/>
  <c r="L6" i="53" s="1"/>
  <c r="Y53" i="54"/>
  <c r="I18" i="53" s="1"/>
  <c r="O53" i="54"/>
  <c r="K53" i="54"/>
  <c r="V52" i="54"/>
  <c r="M52" i="54" s="1"/>
  <c r="U52" i="54"/>
  <c r="O52" i="54"/>
  <c r="K52" i="54"/>
  <c r="G52" i="54"/>
  <c r="V51" i="54"/>
  <c r="U51" i="54"/>
  <c r="O51" i="54"/>
  <c r="M51" i="54"/>
  <c r="AE51" i="54" s="1"/>
  <c r="K51" i="54"/>
  <c r="G51" i="54"/>
  <c r="V50" i="54"/>
  <c r="U50" i="54"/>
  <c r="O50" i="54"/>
  <c r="M50" i="54"/>
  <c r="K50" i="54"/>
  <c r="G50" i="54"/>
  <c r="V49" i="54"/>
  <c r="M49" i="54" s="1"/>
  <c r="N49" i="54" s="1"/>
  <c r="U49" i="54"/>
  <c r="Q49" i="54"/>
  <c r="P49" i="54"/>
  <c r="O49" i="54"/>
  <c r="K49" i="54"/>
  <c r="G49" i="54"/>
  <c r="V48" i="54"/>
  <c r="M48" i="54" s="1"/>
  <c r="U48" i="54"/>
  <c r="O48" i="54"/>
  <c r="K48" i="54"/>
  <c r="G48" i="54"/>
  <c r="AF47" i="54"/>
  <c r="V47" i="54"/>
  <c r="M47" i="54" s="1"/>
  <c r="N47" i="54" s="1"/>
  <c r="P47" i="54" s="1"/>
  <c r="U47" i="54"/>
  <c r="Q47" i="54"/>
  <c r="O47" i="54"/>
  <c r="K47" i="54"/>
  <c r="G47" i="54"/>
  <c r="V46" i="54"/>
  <c r="O46" i="54"/>
  <c r="N46" i="54"/>
  <c r="Q46" i="54" s="1"/>
  <c r="M46" i="54"/>
  <c r="K46" i="54"/>
  <c r="G46" i="54"/>
  <c r="AD45" i="54"/>
  <c r="Z45" i="54"/>
  <c r="Y45" i="54"/>
  <c r="O45" i="54"/>
  <c r="K45" i="54"/>
  <c r="V44" i="54"/>
  <c r="U44" i="54"/>
  <c r="O44" i="54"/>
  <c r="M44" i="54"/>
  <c r="AF44" i="54" s="1"/>
  <c r="K44" i="54"/>
  <c r="G44" i="54"/>
  <c r="V43" i="54"/>
  <c r="M43" i="54" s="1"/>
  <c r="U43" i="54"/>
  <c r="O43" i="54"/>
  <c r="K43" i="54"/>
  <c r="G43" i="54"/>
  <c r="V42" i="54"/>
  <c r="U42" i="54"/>
  <c r="O42" i="54"/>
  <c r="M42" i="54"/>
  <c r="N42" i="54" s="1"/>
  <c r="K42" i="54"/>
  <c r="G42" i="54"/>
  <c r="X41" i="54"/>
  <c r="W41" i="54"/>
  <c r="V41" i="54"/>
  <c r="O41" i="54"/>
  <c r="N41" i="54"/>
  <c r="P41" i="54" s="1"/>
  <c r="M41" i="54"/>
  <c r="K41" i="54"/>
  <c r="G41" i="54"/>
  <c r="AD40" i="54"/>
  <c r="Z40" i="54"/>
  <c r="Y40" i="54"/>
  <c r="O40" i="54"/>
  <c r="K40" i="54"/>
  <c r="L13" i="53" s="1"/>
  <c r="I6" i="53" s="1"/>
  <c r="V39" i="54"/>
  <c r="U39" i="54"/>
  <c r="Q39" i="54"/>
  <c r="P39" i="54"/>
  <c r="O39" i="54"/>
  <c r="N39" i="54"/>
  <c r="M39" i="54"/>
  <c r="K39" i="54"/>
  <c r="G39" i="54"/>
  <c r="AF38" i="54"/>
  <c r="AE38" i="54"/>
  <c r="X38" i="54"/>
  <c r="W38" i="54"/>
  <c r="V38" i="54"/>
  <c r="M38" i="54" s="1"/>
  <c r="N38" i="54" s="1"/>
  <c r="Q38" i="54" s="1"/>
  <c r="U38" i="54"/>
  <c r="P38" i="54"/>
  <c r="O38" i="54"/>
  <c r="K38" i="54"/>
  <c r="G38" i="54"/>
  <c r="V37" i="54"/>
  <c r="M37" i="54" s="1"/>
  <c r="U37" i="54"/>
  <c r="O37" i="54"/>
  <c r="K37" i="54"/>
  <c r="G37" i="54"/>
  <c r="V36" i="54"/>
  <c r="U36" i="54"/>
  <c r="O36" i="54"/>
  <c r="M36" i="54"/>
  <c r="K36" i="54"/>
  <c r="G36" i="54"/>
  <c r="V35" i="54"/>
  <c r="M35" i="54" s="1"/>
  <c r="N35" i="54" s="1"/>
  <c r="U35" i="54"/>
  <c r="Q35" i="54"/>
  <c r="P35" i="54"/>
  <c r="O35" i="54"/>
  <c r="K35" i="54"/>
  <c r="G35" i="54"/>
  <c r="X34" i="54"/>
  <c r="W34" i="54"/>
  <c r="V34" i="54"/>
  <c r="O34" i="54"/>
  <c r="M34" i="54"/>
  <c r="N34" i="54" s="1"/>
  <c r="K34" i="54"/>
  <c r="G34" i="54"/>
  <c r="AD33" i="54"/>
  <c r="Z33" i="54"/>
  <c r="Y33" i="54"/>
  <c r="K18" i="53" s="1"/>
  <c r="O33" i="54"/>
  <c r="K33" i="54"/>
  <c r="V32" i="54"/>
  <c r="U32" i="54"/>
  <c r="O32" i="54"/>
  <c r="M32" i="54"/>
  <c r="AF32" i="54" s="1"/>
  <c r="K32" i="54"/>
  <c r="G32" i="54"/>
  <c r="V31" i="54"/>
  <c r="M31" i="54" s="1"/>
  <c r="U31" i="54"/>
  <c r="O31" i="54"/>
  <c r="K31" i="54"/>
  <c r="G31" i="54"/>
  <c r="AF30" i="54"/>
  <c r="AE30" i="54"/>
  <c r="X30" i="54"/>
  <c r="W30" i="54"/>
  <c r="V30" i="54"/>
  <c r="M30" i="54" s="1"/>
  <c r="N30" i="54" s="1"/>
  <c r="U30" i="54"/>
  <c r="Q30" i="54"/>
  <c r="P30" i="54"/>
  <c r="O30" i="54"/>
  <c r="K30" i="54"/>
  <c r="G30" i="54"/>
  <c r="V29" i="54"/>
  <c r="U29" i="54"/>
  <c r="O29" i="54"/>
  <c r="M29" i="54"/>
  <c r="AF29" i="54" s="1"/>
  <c r="K29" i="54"/>
  <c r="G29" i="54"/>
  <c r="V28" i="54"/>
  <c r="M28" i="54" s="1"/>
  <c r="N28" i="54" s="1"/>
  <c r="P28" i="54" s="1"/>
  <c r="U28" i="54"/>
  <c r="O28" i="54"/>
  <c r="K28" i="54"/>
  <c r="G28" i="54"/>
  <c r="V27" i="54"/>
  <c r="U27" i="54"/>
  <c r="O27" i="54"/>
  <c r="M27" i="54"/>
  <c r="AE27" i="54" s="1"/>
  <c r="K27" i="54"/>
  <c r="G27" i="54"/>
  <c r="AF26" i="54"/>
  <c r="AE26" i="54"/>
  <c r="X26" i="54"/>
  <c r="W26" i="54"/>
  <c r="V26" i="54"/>
  <c r="M26" i="54" s="1"/>
  <c r="O26" i="54"/>
  <c r="K26" i="54"/>
  <c r="G26" i="54"/>
  <c r="AD25" i="54"/>
  <c r="Z25" i="54"/>
  <c r="Y25" i="54"/>
  <c r="G18" i="53" s="1"/>
  <c r="O25" i="54"/>
  <c r="K25" i="54"/>
  <c r="V24" i="54"/>
  <c r="U24" i="54"/>
  <c r="O24" i="54"/>
  <c r="M24" i="54"/>
  <c r="K24" i="54"/>
  <c r="G24" i="54"/>
  <c r="AE23" i="54"/>
  <c r="V23" i="54"/>
  <c r="M23" i="54" s="1"/>
  <c r="N23" i="54" s="1"/>
  <c r="Q23" i="54" s="1"/>
  <c r="U23" i="54"/>
  <c r="O23" i="54"/>
  <c r="K23" i="54"/>
  <c r="G23" i="54"/>
  <c r="V22" i="54"/>
  <c r="U22" i="54"/>
  <c r="O22" i="54"/>
  <c r="M22" i="54"/>
  <c r="AF22" i="54" s="1"/>
  <c r="K22" i="54"/>
  <c r="G22" i="54"/>
  <c r="AF21" i="54"/>
  <c r="AE21" i="54"/>
  <c r="V21" i="54"/>
  <c r="M21" i="54" s="1"/>
  <c r="N21" i="54" s="1"/>
  <c r="P21" i="54" s="1"/>
  <c r="U21" i="54"/>
  <c r="Q21" i="54"/>
  <c r="O21" i="54"/>
  <c r="K21" i="54"/>
  <c r="G21" i="54"/>
  <c r="V20" i="54"/>
  <c r="U20" i="54"/>
  <c r="O20" i="54"/>
  <c r="M20" i="54"/>
  <c r="AE20" i="54" s="1"/>
  <c r="K20" i="54"/>
  <c r="G20" i="54"/>
  <c r="AF19" i="54"/>
  <c r="AE19" i="54"/>
  <c r="V19" i="54"/>
  <c r="O19" i="54"/>
  <c r="M19" i="54"/>
  <c r="N19" i="54" s="1"/>
  <c r="K19" i="54"/>
  <c r="G19" i="54"/>
  <c r="AD18" i="54"/>
  <c r="Z18" i="54"/>
  <c r="Y18" i="54"/>
  <c r="O18" i="54"/>
  <c r="K18" i="54"/>
  <c r="F13" i="53" s="1"/>
  <c r="G6" i="53" s="1"/>
  <c r="V17" i="54"/>
  <c r="M17" i="54" s="1"/>
  <c r="U17" i="54"/>
  <c r="O17" i="54"/>
  <c r="K17" i="54"/>
  <c r="G17" i="54"/>
  <c r="V16" i="54"/>
  <c r="U16" i="54"/>
  <c r="O16" i="54"/>
  <c r="M16" i="54"/>
  <c r="AE16" i="54" s="1"/>
  <c r="K16" i="54"/>
  <c r="G16" i="54"/>
  <c r="V15" i="54"/>
  <c r="U15" i="54"/>
  <c r="O15" i="54"/>
  <c r="M15" i="54"/>
  <c r="K15" i="54"/>
  <c r="G15" i="54"/>
  <c r="V14" i="54"/>
  <c r="M14" i="54" s="1"/>
  <c r="N14" i="54" s="1"/>
  <c r="P14" i="54" s="1"/>
  <c r="Q14" i="54"/>
  <c r="O14" i="54"/>
  <c r="K14" i="54"/>
  <c r="G14" i="54"/>
  <c r="AD13" i="54"/>
  <c r="Z13" i="54"/>
  <c r="Y13" i="54"/>
  <c r="O13" i="54"/>
  <c r="K13" i="54"/>
  <c r="V12" i="54"/>
  <c r="M12" i="54" s="1"/>
  <c r="N12" i="54" s="1"/>
  <c r="U12" i="54"/>
  <c r="O12" i="54"/>
  <c r="K12" i="54"/>
  <c r="G12" i="54"/>
  <c r="X11" i="54"/>
  <c r="W11" i="54"/>
  <c r="V11" i="54"/>
  <c r="U11" i="54"/>
  <c r="O11" i="54"/>
  <c r="M11" i="54"/>
  <c r="K11" i="54"/>
  <c r="G11" i="54"/>
  <c r="V10" i="54"/>
  <c r="M10" i="54" s="1"/>
  <c r="U10" i="54"/>
  <c r="O10" i="54"/>
  <c r="K10" i="54"/>
  <c r="G10" i="54"/>
  <c r="X9" i="54"/>
  <c r="W9" i="54"/>
  <c r="V9" i="54"/>
  <c r="M9" i="54" s="1"/>
  <c r="N9" i="54" s="1"/>
  <c r="Q9" i="54"/>
  <c r="P9" i="54"/>
  <c r="O9" i="54"/>
  <c r="K9" i="54"/>
  <c r="G9" i="54"/>
  <c r="AD8" i="54"/>
  <c r="Z8" i="54"/>
  <c r="Y8" i="54"/>
  <c r="D18" i="53" s="1"/>
  <c r="O8" i="54"/>
  <c r="K8" i="54"/>
  <c r="V7" i="54"/>
  <c r="M7" i="54" s="1"/>
  <c r="N7" i="54" s="1"/>
  <c r="U7" i="54"/>
  <c r="O7" i="54"/>
  <c r="K7" i="54"/>
  <c r="G7" i="54"/>
  <c r="V6" i="54"/>
  <c r="U6" i="54"/>
  <c r="O6" i="54"/>
  <c r="M6" i="54"/>
  <c r="K6" i="54"/>
  <c r="G6" i="54"/>
  <c r="AF5" i="54"/>
  <c r="V5" i="54"/>
  <c r="O5" i="54"/>
  <c r="N5" i="54"/>
  <c r="M5" i="54"/>
  <c r="AE5" i="54" s="1"/>
  <c r="K5" i="54"/>
  <c r="G5" i="54"/>
  <c r="H2" i="54"/>
  <c r="H1" i="54"/>
  <c r="F1" i="54"/>
  <c r="F2" i="54" s="1"/>
  <c r="D1" i="54"/>
  <c r="M22" i="53"/>
  <c r="L22" i="53"/>
  <c r="K22" i="53"/>
  <c r="J22" i="53"/>
  <c r="I22" i="53"/>
  <c r="H22" i="53"/>
  <c r="G22" i="53"/>
  <c r="F22" i="53"/>
  <c r="E22" i="53"/>
  <c r="D22" i="53"/>
  <c r="M21" i="53"/>
  <c r="L21" i="53"/>
  <c r="K21" i="53"/>
  <c r="J21" i="53"/>
  <c r="H21" i="53"/>
  <c r="G21" i="53"/>
  <c r="F21" i="53"/>
  <c r="E21" i="53"/>
  <c r="D21" i="53"/>
  <c r="M20" i="53"/>
  <c r="L20" i="53"/>
  <c r="K20" i="53"/>
  <c r="J20" i="53"/>
  <c r="I20" i="53"/>
  <c r="H20" i="53"/>
  <c r="G20" i="53"/>
  <c r="F20" i="53"/>
  <c r="E20" i="53"/>
  <c r="D20" i="53"/>
  <c r="M19" i="53"/>
  <c r="L19" i="53"/>
  <c r="K19" i="53"/>
  <c r="J19" i="53"/>
  <c r="H19" i="53"/>
  <c r="G19" i="53"/>
  <c r="F19" i="53"/>
  <c r="E19" i="53"/>
  <c r="D19" i="53"/>
  <c r="M18" i="53"/>
  <c r="L18" i="53"/>
  <c r="H18" i="53"/>
  <c r="F18" i="53"/>
  <c r="E18" i="53"/>
  <c r="M17" i="53"/>
  <c r="L17" i="53"/>
  <c r="K17" i="53"/>
  <c r="J17" i="53"/>
  <c r="I17" i="53"/>
  <c r="H17" i="53"/>
  <c r="G17" i="53"/>
  <c r="F17" i="53"/>
  <c r="E17" i="53"/>
  <c r="D17" i="53"/>
  <c r="M16" i="53"/>
  <c r="L16" i="53"/>
  <c r="K16" i="53"/>
  <c r="J16" i="53"/>
  <c r="I16" i="53"/>
  <c r="H16" i="53"/>
  <c r="G16" i="53"/>
  <c r="F16" i="53"/>
  <c r="E16" i="53"/>
  <c r="D16" i="53"/>
  <c r="M13" i="53"/>
  <c r="K13" i="53"/>
  <c r="I13" i="53"/>
  <c r="H13" i="53"/>
  <c r="G13" i="53"/>
  <c r="E13" i="53"/>
  <c r="D13" i="53"/>
  <c r="F6" i="53" s="1"/>
  <c r="M6" i="53"/>
  <c r="F3" i="53"/>
  <c r="C3" i="53"/>
  <c r="F8" i="61" l="1"/>
  <c r="G8" i="61"/>
  <c r="E8" i="61"/>
  <c r="K15" i="59"/>
  <c r="I8" i="59" s="1"/>
  <c r="I7" i="59"/>
  <c r="D15" i="59"/>
  <c r="G7" i="59"/>
  <c r="E7" i="59"/>
  <c r="F7" i="59"/>
  <c r="P46" i="58"/>
  <c r="Q46" i="58"/>
  <c r="R37" i="58" s="1"/>
  <c r="L14" i="57"/>
  <c r="L15" i="57" s="1"/>
  <c r="Q51" i="58"/>
  <c r="R47" i="58" s="1"/>
  <c r="P51" i="58"/>
  <c r="H14" i="57"/>
  <c r="H15" i="57" s="1"/>
  <c r="K15" i="57"/>
  <c r="Q27" i="58"/>
  <c r="R21" i="58" s="1"/>
  <c r="P27" i="58"/>
  <c r="G14" i="57"/>
  <c r="G15" i="57" s="1"/>
  <c r="Q74" i="58"/>
  <c r="R66" i="58" s="1"/>
  <c r="P74" i="58"/>
  <c r="M14" i="57"/>
  <c r="M15" i="57" s="1"/>
  <c r="Q20" i="58"/>
  <c r="R15" i="58" s="1"/>
  <c r="F14" i="57"/>
  <c r="F15" i="57" s="1"/>
  <c r="P20" i="58"/>
  <c r="Q65" i="58"/>
  <c r="R60" i="58" s="1"/>
  <c r="P65" i="58"/>
  <c r="J14" i="57"/>
  <c r="J15" i="57" s="1"/>
  <c r="D2" i="58"/>
  <c r="Q8" i="58"/>
  <c r="R5" i="58" s="1"/>
  <c r="P8" i="58"/>
  <c r="D14" i="57"/>
  <c r="I14" i="57"/>
  <c r="I15" i="57" s="1"/>
  <c r="P59" i="58"/>
  <c r="Q59" i="58"/>
  <c r="R52" i="58" s="1"/>
  <c r="Q66" i="56"/>
  <c r="P66" i="56"/>
  <c r="Q6" i="56"/>
  <c r="P6" i="56"/>
  <c r="Q31" i="56"/>
  <c r="P31" i="56"/>
  <c r="Q36" i="56"/>
  <c r="P36" i="56"/>
  <c r="Q48" i="56"/>
  <c r="P48" i="56"/>
  <c r="P43" i="56"/>
  <c r="Q43" i="56"/>
  <c r="N46" i="56"/>
  <c r="AF46" i="56"/>
  <c r="AG42" i="56" s="1"/>
  <c r="AE46" i="56"/>
  <c r="Q29" i="56"/>
  <c r="P29" i="56"/>
  <c r="Q22" i="56"/>
  <c r="P22" i="56"/>
  <c r="Q39" i="56"/>
  <c r="P39" i="56"/>
  <c r="Q18" i="56"/>
  <c r="P18" i="56"/>
  <c r="P38" i="56"/>
  <c r="Q38" i="56"/>
  <c r="Q13" i="56"/>
  <c r="P13" i="56"/>
  <c r="Q27" i="56"/>
  <c r="P27" i="56"/>
  <c r="Q49" i="56"/>
  <c r="P49" i="56"/>
  <c r="N34" i="56"/>
  <c r="AF34" i="56"/>
  <c r="AG27" i="56" s="1"/>
  <c r="AE34" i="56"/>
  <c r="Q32" i="56"/>
  <c r="P32" i="56"/>
  <c r="Q11" i="56"/>
  <c r="P11" i="56"/>
  <c r="P57" i="56"/>
  <c r="Q57" i="56"/>
  <c r="Q52" i="56"/>
  <c r="P52" i="56"/>
  <c r="Q67" i="56"/>
  <c r="R61" i="56" s="1"/>
  <c r="P67" i="56"/>
  <c r="M14" i="55"/>
  <c r="M15" i="55" s="1"/>
  <c r="Q10" i="56"/>
  <c r="P10" i="56"/>
  <c r="Q16" i="56"/>
  <c r="P16" i="56"/>
  <c r="N19" i="56"/>
  <c r="AF19" i="56"/>
  <c r="AG15" i="56" s="1"/>
  <c r="AE19" i="56"/>
  <c r="Q50" i="56"/>
  <c r="P50" i="56"/>
  <c r="Q37" i="56"/>
  <c r="P37" i="56"/>
  <c r="Q15" i="56"/>
  <c r="P15" i="56"/>
  <c r="N41" i="56"/>
  <c r="AF41" i="56"/>
  <c r="AG35" i="56" s="1"/>
  <c r="AE41" i="56"/>
  <c r="Q5" i="56"/>
  <c r="P5" i="56"/>
  <c r="Q7" i="56"/>
  <c r="P7" i="56"/>
  <c r="Q47" i="56"/>
  <c r="P47" i="56"/>
  <c r="Q24" i="56"/>
  <c r="P24" i="56"/>
  <c r="Q44" i="56"/>
  <c r="P44" i="56"/>
  <c r="Q30" i="56"/>
  <c r="P30" i="56"/>
  <c r="N60" i="56"/>
  <c r="AF60" i="56"/>
  <c r="AG55" i="56" s="1"/>
  <c r="AE60" i="56"/>
  <c r="P35" i="56"/>
  <c r="Q35" i="56"/>
  <c r="Q26" i="56"/>
  <c r="R20" i="56" s="1"/>
  <c r="P26" i="56"/>
  <c r="G14" i="55"/>
  <c r="G15" i="55" s="1"/>
  <c r="Q33" i="56"/>
  <c r="P33" i="56"/>
  <c r="Q64" i="56"/>
  <c r="P64" i="56"/>
  <c r="P40" i="56"/>
  <c r="Q40" i="56"/>
  <c r="Q51" i="56"/>
  <c r="P51" i="56"/>
  <c r="Q28" i="56"/>
  <c r="P28" i="56"/>
  <c r="Q58" i="56"/>
  <c r="P58" i="56"/>
  <c r="N14" i="56"/>
  <c r="AF14" i="56"/>
  <c r="AG9" i="56" s="1"/>
  <c r="AE14" i="56"/>
  <c r="Q55" i="56"/>
  <c r="P55" i="56"/>
  <c r="P17" i="56"/>
  <c r="Q17" i="56"/>
  <c r="N54" i="56"/>
  <c r="AF54" i="56"/>
  <c r="AG47" i="56" s="1"/>
  <c r="AE54" i="56"/>
  <c r="Q25" i="56"/>
  <c r="P25" i="56"/>
  <c r="Q56" i="56"/>
  <c r="P56" i="56"/>
  <c r="Q53" i="56"/>
  <c r="P53" i="56"/>
  <c r="Q9" i="56"/>
  <c r="P9" i="56"/>
  <c r="Q12" i="56"/>
  <c r="P12" i="56"/>
  <c r="Q8" i="56"/>
  <c r="R5" i="56" s="1"/>
  <c r="P8" i="56"/>
  <c r="D14" i="55"/>
  <c r="AE57" i="54"/>
  <c r="AF57" i="54"/>
  <c r="N57" i="54"/>
  <c r="AF64" i="54"/>
  <c r="AE64" i="54"/>
  <c r="N64" i="54"/>
  <c r="AE37" i="54"/>
  <c r="AF37" i="54"/>
  <c r="N37" i="54"/>
  <c r="Q34" i="54"/>
  <c r="P34" i="54"/>
  <c r="M66" i="54"/>
  <c r="AF60" i="54"/>
  <c r="AE60" i="54"/>
  <c r="N60" i="54"/>
  <c r="AF48" i="54"/>
  <c r="M53" i="54"/>
  <c r="AE48" i="54"/>
  <c r="N48" i="54"/>
  <c r="Q19" i="54"/>
  <c r="P19" i="54"/>
  <c r="P65" i="54"/>
  <c r="Q65" i="54"/>
  <c r="P42" i="54"/>
  <c r="Q42" i="54"/>
  <c r="I19" i="53"/>
  <c r="N20" i="54"/>
  <c r="AF51" i="54"/>
  <c r="AE56" i="54"/>
  <c r="AE65" i="54"/>
  <c r="AE12" i="54"/>
  <c r="AE14" i="54"/>
  <c r="AF16" i="54"/>
  <c r="AF23" i="54"/>
  <c r="AE32" i="54"/>
  <c r="AE34" i="54"/>
  <c r="AE22" i="54"/>
  <c r="M59" i="54"/>
  <c r="AF6" i="54"/>
  <c r="AE6" i="54"/>
  <c r="AF12" i="54"/>
  <c r="AF14" i="54"/>
  <c r="Q28" i="54"/>
  <c r="AF34" i="54"/>
  <c r="AF39" i="54"/>
  <c r="AE39" i="54"/>
  <c r="AF43" i="54"/>
  <c r="AE43" i="54"/>
  <c r="N43" i="54"/>
  <c r="P55" i="54"/>
  <c r="Q7" i="54"/>
  <c r="P7" i="54"/>
  <c r="AE63" i="54"/>
  <c r="Q61" i="54"/>
  <c r="P61" i="54"/>
  <c r="I3" i="53"/>
  <c r="E6" i="53"/>
  <c r="N6" i="54"/>
  <c r="M33" i="54"/>
  <c r="N26" i="54"/>
  <c r="AF46" i="54"/>
  <c r="AE46" i="54"/>
  <c r="AE28" i="54"/>
  <c r="N29" i="54"/>
  <c r="AE35" i="54"/>
  <c r="M40" i="54"/>
  <c r="Q56" i="54"/>
  <c r="AF58" i="54"/>
  <c r="Q63" i="54"/>
  <c r="AD2" i="54"/>
  <c r="N6" i="53" s="1"/>
  <c r="Q54" i="54"/>
  <c r="P54" i="54"/>
  <c r="Q5" i="54"/>
  <c r="P5" i="54"/>
  <c r="AF7" i="54"/>
  <c r="N32" i="54"/>
  <c r="AE42" i="54"/>
  <c r="AF49" i="54"/>
  <c r="AF54" i="54"/>
  <c r="AE61" i="54"/>
  <c r="AF65" i="54"/>
  <c r="AF10" i="54"/>
  <c r="AE10" i="54"/>
  <c r="N10" i="54"/>
  <c r="M13" i="54"/>
  <c r="AF24" i="54"/>
  <c r="AE24" i="54"/>
  <c r="N24" i="54"/>
  <c r="AE15" i="54"/>
  <c r="AF15" i="54"/>
  <c r="N15" i="54"/>
  <c r="AF28" i="54"/>
  <c r="N44" i="54"/>
  <c r="P46" i="54"/>
  <c r="N51" i="54"/>
  <c r="AF11" i="54"/>
  <c r="AE11" i="54"/>
  <c r="AF17" i="54"/>
  <c r="AE17" i="54"/>
  <c r="N17" i="54"/>
  <c r="N11" i="54"/>
  <c r="N22" i="54"/>
  <c r="AF31" i="54"/>
  <c r="AE31" i="54"/>
  <c r="N31" i="54"/>
  <c r="N16" i="54"/>
  <c r="AE29" i="54"/>
  <c r="AF36" i="54"/>
  <c r="AE36" i="54"/>
  <c r="N36" i="54"/>
  <c r="AE49" i="54"/>
  <c r="AE54" i="54"/>
  <c r="AF56" i="54"/>
  <c r="AF63" i="54"/>
  <c r="AE9" i="54"/>
  <c r="AF20" i="54"/>
  <c r="P23" i="54"/>
  <c r="AF42" i="54"/>
  <c r="AF61" i="54"/>
  <c r="M8" i="54"/>
  <c r="AF9" i="54"/>
  <c r="AE47" i="54"/>
  <c r="AE7" i="54"/>
  <c r="AF52" i="54"/>
  <c r="AE52" i="54"/>
  <c r="N52" i="54"/>
  <c r="Y2" i="54"/>
  <c r="K6" i="53" s="1"/>
  <c r="M18" i="54"/>
  <c r="AE58" i="54"/>
  <c r="AF35" i="54"/>
  <c r="AE44" i="54"/>
  <c r="AF41" i="54"/>
  <c r="AE41" i="54"/>
  <c r="M45" i="54"/>
  <c r="N27" i="54"/>
  <c r="AF27" i="54"/>
  <c r="AE50" i="54"/>
  <c r="AF50" i="54"/>
  <c r="N50" i="54"/>
  <c r="Q12" i="54"/>
  <c r="P12" i="54"/>
  <c r="M25" i="54"/>
  <c r="Q41" i="54"/>
  <c r="N62" i="54"/>
  <c r="AD70" i="52"/>
  <c r="Z70" i="52"/>
  <c r="Y70" i="52"/>
  <c r="O70" i="52"/>
  <c r="K70" i="52"/>
  <c r="AF69" i="52"/>
  <c r="V69" i="52"/>
  <c r="U69" i="52"/>
  <c r="O69" i="52"/>
  <c r="M69" i="52"/>
  <c r="AE69" i="52" s="1"/>
  <c r="K69" i="52"/>
  <c r="G69" i="52"/>
  <c r="AF68" i="52"/>
  <c r="AE68" i="52"/>
  <c r="V68" i="52"/>
  <c r="U68" i="52"/>
  <c r="O68" i="52"/>
  <c r="N68" i="52"/>
  <c r="Q68" i="52" s="1"/>
  <c r="M68" i="52"/>
  <c r="K68" i="52"/>
  <c r="G68" i="52"/>
  <c r="V67" i="52"/>
  <c r="M67" i="52" s="1"/>
  <c r="U67" i="52"/>
  <c r="O67" i="52"/>
  <c r="K67" i="52"/>
  <c r="G67" i="52"/>
  <c r="AF66" i="52"/>
  <c r="AE66" i="52"/>
  <c r="X66" i="52"/>
  <c r="W66" i="52"/>
  <c r="V66" i="52"/>
  <c r="U66" i="52"/>
  <c r="O66" i="52"/>
  <c r="N66" i="52"/>
  <c r="Q66" i="52" s="1"/>
  <c r="M66" i="52"/>
  <c r="K66" i="52"/>
  <c r="G66" i="52"/>
  <c r="V65" i="52"/>
  <c r="M65" i="52" s="1"/>
  <c r="U65" i="52"/>
  <c r="O65" i="52"/>
  <c r="K65" i="52"/>
  <c r="G65" i="52"/>
  <c r="V64" i="52"/>
  <c r="M64" i="52" s="1"/>
  <c r="U64" i="52"/>
  <c r="O64" i="52"/>
  <c r="K64" i="52"/>
  <c r="G64" i="52"/>
  <c r="V63" i="52"/>
  <c r="M63" i="52" s="1"/>
  <c r="U63" i="52"/>
  <c r="O63" i="52"/>
  <c r="K63" i="52"/>
  <c r="G63" i="52"/>
  <c r="X62" i="52"/>
  <c r="W62" i="52"/>
  <c r="V62" i="52"/>
  <c r="M62" i="52" s="1"/>
  <c r="O62" i="52"/>
  <c r="K62" i="52"/>
  <c r="G62" i="52"/>
  <c r="AD61" i="52"/>
  <c r="Z61" i="52"/>
  <c r="J19" i="51" s="1"/>
  <c r="Y61" i="52"/>
  <c r="O61" i="52"/>
  <c r="K61" i="52"/>
  <c r="V60" i="52"/>
  <c r="M60" i="52" s="1"/>
  <c r="U60" i="52"/>
  <c r="O60" i="52"/>
  <c r="K60" i="52"/>
  <c r="G60" i="52"/>
  <c r="V59" i="52"/>
  <c r="M59" i="52" s="1"/>
  <c r="U59" i="52"/>
  <c r="O59" i="52"/>
  <c r="K59" i="52"/>
  <c r="G59" i="52"/>
  <c r="V58" i="52"/>
  <c r="M58" i="52" s="1"/>
  <c r="U58" i="52"/>
  <c r="O58" i="52"/>
  <c r="K58" i="52"/>
  <c r="G58" i="52"/>
  <c r="V57" i="52"/>
  <c r="M57" i="52" s="1"/>
  <c r="U57" i="52"/>
  <c r="O57" i="52"/>
  <c r="K57" i="52"/>
  <c r="G57" i="52"/>
  <c r="V56" i="52"/>
  <c r="M56" i="52" s="1"/>
  <c r="O56" i="52"/>
  <c r="K56" i="52"/>
  <c r="G56" i="52"/>
  <c r="AD55" i="52"/>
  <c r="Z55" i="52"/>
  <c r="Y55" i="52"/>
  <c r="O55" i="52"/>
  <c r="K55" i="52"/>
  <c r="V54" i="52"/>
  <c r="U54" i="52"/>
  <c r="O54" i="52"/>
  <c r="N54" i="52"/>
  <c r="Q54" i="52" s="1"/>
  <c r="M54" i="52"/>
  <c r="AF54" i="52" s="1"/>
  <c r="K54" i="52"/>
  <c r="G54" i="52"/>
  <c r="V53" i="52"/>
  <c r="U53" i="52"/>
  <c r="O53" i="52"/>
  <c r="M53" i="52"/>
  <c r="AF53" i="52" s="1"/>
  <c r="K53" i="52"/>
  <c r="G53" i="52"/>
  <c r="V52" i="52"/>
  <c r="U52" i="52"/>
  <c r="O52" i="52"/>
  <c r="M52" i="52"/>
  <c r="AF52" i="52" s="1"/>
  <c r="K52" i="52"/>
  <c r="G52" i="52"/>
  <c r="AF51" i="52"/>
  <c r="V51" i="52"/>
  <c r="U51" i="52"/>
  <c r="O51" i="52"/>
  <c r="M51" i="52"/>
  <c r="AE51" i="52" s="1"/>
  <c r="K51" i="52"/>
  <c r="G51" i="52"/>
  <c r="V50" i="52"/>
  <c r="M50" i="52" s="1"/>
  <c r="U50" i="52"/>
  <c r="O50" i="52"/>
  <c r="K50" i="52"/>
  <c r="G50" i="52"/>
  <c r="V49" i="52"/>
  <c r="M49" i="52" s="1"/>
  <c r="U49" i="52"/>
  <c r="O49" i="52"/>
  <c r="K49" i="52"/>
  <c r="G49" i="52"/>
  <c r="V48" i="52"/>
  <c r="M48" i="52" s="1"/>
  <c r="O48" i="52"/>
  <c r="K48" i="52"/>
  <c r="G48" i="52"/>
  <c r="AD47" i="52"/>
  <c r="Z47" i="52"/>
  <c r="H19" i="51" s="1"/>
  <c r="Y47" i="52"/>
  <c r="O47" i="52"/>
  <c r="K47" i="52"/>
  <c r="V46" i="52"/>
  <c r="U46" i="52"/>
  <c r="O46" i="52"/>
  <c r="M46" i="52"/>
  <c r="N46" i="52" s="1"/>
  <c r="K46" i="52"/>
  <c r="G46" i="52"/>
  <c r="V45" i="52"/>
  <c r="U45" i="52"/>
  <c r="O45" i="52"/>
  <c r="M45" i="52"/>
  <c r="N45" i="52" s="1"/>
  <c r="K45" i="52"/>
  <c r="G45" i="52"/>
  <c r="AF44" i="52"/>
  <c r="V44" i="52"/>
  <c r="U44" i="52"/>
  <c r="O44" i="52"/>
  <c r="M44" i="52"/>
  <c r="N44" i="52" s="1"/>
  <c r="K44" i="52"/>
  <c r="G44" i="52"/>
  <c r="X43" i="52"/>
  <c r="W43" i="52"/>
  <c r="V43" i="52"/>
  <c r="O43" i="52"/>
  <c r="M43" i="52"/>
  <c r="N43" i="52" s="1"/>
  <c r="K43" i="52"/>
  <c r="G43" i="52"/>
  <c r="AD42" i="52"/>
  <c r="Z42" i="52"/>
  <c r="Y42" i="52"/>
  <c r="O42" i="52"/>
  <c r="K42" i="52"/>
  <c r="AF41" i="52"/>
  <c r="V41" i="52"/>
  <c r="U41" i="52"/>
  <c r="O41" i="52"/>
  <c r="M41" i="52"/>
  <c r="N41" i="52" s="1"/>
  <c r="K41" i="52"/>
  <c r="G41" i="52"/>
  <c r="AF40" i="52"/>
  <c r="AE40" i="52"/>
  <c r="V40" i="52"/>
  <c r="U40" i="52"/>
  <c r="O40" i="52"/>
  <c r="N40" i="52"/>
  <c r="Q40" i="52" s="1"/>
  <c r="M40" i="52"/>
  <c r="K40" i="52"/>
  <c r="G40" i="52"/>
  <c r="AF39" i="52"/>
  <c r="AE39" i="52"/>
  <c r="X39" i="52"/>
  <c r="W39" i="52"/>
  <c r="V39" i="52"/>
  <c r="U39" i="52"/>
  <c r="O39" i="52"/>
  <c r="M39" i="52"/>
  <c r="N39" i="52" s="1"/>
  <c r="K39" i="52"/>
  <c r="G39" i="52"/>
  <c r="AF38" i="52"/>
  <c r="AE38" i="52"/>
  <c r="V38" i="52"/>
  <c r="U38" i="52"/>
  <c r="O38" i="52"/>
  <c r="N38" i="52"/>
  <c r="Q38" i="52" s="1"/>
  <c r="M38" i="52"/>
  <c r="K38" i="52"/>
  <c r="G38" i="52"/>
  <c r="V37" i="52"/>
  <c r="U37" i="52"/>
  <c r="O37" i="52"/>
  <c r="M37" i="52"/>
  <c r="AF37" i="52" s="1"/>
  <c r="K37" i="52"/>
  <c r="G37" i="52"/>
  <c r="V36" i="52"/>
  <c r="M36" i="52" s="1"/>
  <c r="U36" i="52"/>
  <c r="O36" i="52"/>
  <c r="K36" i="52"/>
  <c r="G36" i="52"/>
  <c r="AF35" i="52"/>
  <c r="AE35" i="52"/>
  <c r="X35" i="52"/>
  <c r="W35" i="52"/>
  <c r="V35" i="52"/>
  <c r="O35" i="52"/>
  <c r="N35" i="52"/>
  <c r="Q35" i="52" s="1"/>
  <c r="M35" i="52"/>
  <c r="M42" i="52" s="1"/>
  <c r="K35" i="52"/>
  <c r="G35" i="52"/>
  <c r="AD34" i="52"/>
  <c r="Z34" i="52"/>
  <c r="Y34" i="52"/>
  <c r="O34" i="52"/>
  <c r="K34" i="52"/>
  <c r="V33" i="52"/>
  <c r="M33" i="52" s="1"/>
  <c r="U33" i="52"/>
  <c r="O33" i="52"/>
  <c r="K33" i="52"/>
  <c r="G33" i="52"/>
  <c r="V32" i="52"/>
  <c r="M32" i="52" s="1"/>
  <c r="U32" i="52"/>
  <c r="O32" i="52"/>
  <c r="K32" i="52"/>
  <c r="G32" i="52"/>
  <c r="V31" i="52"/>
  <c r="M31" i="52" s="1"/>
  <c r="U31" i="52"/>
  <c r="O31" i="52"/>
  <c r="K31" i="52"/>
  <c r="G31" i="52"/>
  <c r="X30" i="52"/>
  <c r="W30" i="52"/>
  <c r="V30" i="52"/>
  <c r="M30" i="52" s="1"/>
  <c r="U30" i="52"/>
  <c r="O30" i="52"/>
  <c r="K30" i="52"/>
  <c r="G30" i="52"/>
  <c r="V29" i="52"/>
  <c r="M29" i="52" s="1"/>
  <c r="U29" i="52"/>
  <c r="O29" i="52"/>
  <c r="K29" i="52"/>
  <c r="G29" i="52"/>
  <c r="V28" i="52"/>
  <c r="M28" i="52" s="1"/>
  <c r="U28" i="52"/>
  <c r="O28" i="52"/>
  <c r="K28" i="52"/>
  <c r="G28" i="52"/>
  <c r="V27" i="52"/>
  <c r="M27" i="52" s="1"/>
  <c r="U27" i="52"/>
  <c r="O27" i="52"/>
  <c r="K27" i="52"/>
  <c r="G27" i="52"/>
  <c r="X26" i="52"/>
  <c r="W26" i="52"/>
  <c r="V26" i="52"/>
  <c r="M26" i="52" s="1"/>
  <c r="O26" i="52"/>
  <c r="K26" i="52"/>
  <c r="G26" i="52"/>
  <c r="AD25" i="52"/>
  <c r="Z25" i="52"/>
  <c r="Y25" i="52"/>
  <c r="O25" i="52"/>
  <c r="K25" i="52"/>
  <c r="V24" i="52"/>
  <c r="M24" i="52" s="1"/>
  <c r="U24" i="52"/>
  <c r="O24" i="52"/>
  <c r="K24" i="52"/>
  <c r="G24" i="52"/>
  <c r="V23" i="52"/>
  <c r="M23" i="52" s="1"/>
  <c r="U23" i="52"/>
  <c r="O23" i="52"/>
  <c r="K23" i="52"/>
  <c r="G23" i="52"/>
  <c r="V22" i="52"/>
  <c r="U22" i="52"/>
  <c r="O22" i="52"/>
  <c r="M22" i="52"/>
  <c r="N22" i="52" s="1"/>
  <c r="K22" i="52"/>
  <c r="G22" i="52"/>
  <c r="V21" i="52"/>
  <c r="U21" i="52"/>
  <c r="O21" i="52"/>
  <c r="M21" i="52"/>
  <c r="N21" i="52" s="1"/>
  <c r="K21" i="52"/>
  <c r="G21" i="52"/>
  <c r="V20" i="52"/>
  <c r="U20" i="52"/>
  <c r="Q20" i="52"/>
  <c r="P20" i="52"/>
  <c r="O20" i="52"/>
  <c r="N20" i="52"/>
  <c r="M20" i="52"/>
  <c r="AF20" i="52" s="1"/>
  <c r="K20" i="52"/>
  <c r="G20" i="52"/>
  <c r="V19" i="52"/>
  <c r="Q19" i="52"/>
  <c r="P19" i="52"/>
  <c r="O19" i="52"/>
  <c r="N19" i="52"/>
  <c r="M19" i="52"/>
  <c r="AF19" i="52" s="1"/>
  <c r="K19" i="52"/>
  <c r="G19" i="52"/>
  <c r="AD18" i="52"/>
  <c r="Z18" i="52"/>
  <c r="Y18" i="52"/>
  <c r="O18" i="52"/>
  <c r="K18" i="52"/>
  <c r="V17" i="52"/>
  <c r="U17" i="52"/>
  <c r="O17" i="52"/>
  <c r="N17" i="52"/>
  <c r="Q17" i="52" s="1"/>
  <c r="M17" i="52"/>
  <c r="AF17" i="52" s="1"/>
  <c r="K17" i="52"/>
  <c r="G17" i="52"/>
  <c r="V16" i="52"/>
  <c r="U16" i="52"/>
  <c r="O16" i="52"/>
  <c r="M16" i="52"/>
  <c r="AF16" i="52" s="1"/>
  <c r="K16" i="52"/>
  <c r="G16" i="52"/>
  <c r="V15" i="52"/>
  <c r="M15" i="52" s="1"/>
  <c r="U15" i="52"/>
  <c r="O15" i="52"/>
  <c r="K15" i="52"/>
  <c r="G15" i="52"/>
  <c r="V14" i="52"/>
  <c r="M14" i="52" s="1"/>
  <c r="O14" i="52"/>
  <c r="K14" i="52"/>
  <c r="G14" i="52"/>
  <c r="AD13" i="52"/>
  <c r="Z13" i="52"/>
  <c r="Y13" i="52"/>
  <c r="O13" i="52"/>
  <c r="K13" i="52"/>
  <c r="E13" i="51" s="1"/>
  <c r="V12" i="52"/>
  <c r="M12" i="52" s="1"/>
  <c r="U12" i="52"/>
  <c r="O12" i="52"/>
  <c r="K12" i="52"/>
  <c r="G12" i="52"/>
  <c r="AF11" i="52"/>
  <c r="X11" i="52"/>
  <c r="W11" i="52"/>
  <c r="V11" i="52"/>
  <c r="U11" i="52"/>
  <c r="O11" i="52"/>
  <c r="M11" i="52"/>
  <c r="AE11" i="52" s="1"/>
  <c r="K11" i="52"/>
  <c r="G11" i="52"/>
  <c r="V10" i="52"/>
  <c r="M10" i="52" s="1"/>
  <c r="U10" i="52"/>
  <c r="O10" i="52"/>
  <c r="K10" i="52"/>
  <c r="G10" i="52"/>
  <c r="X9" i="52"/>
  <c r="W9" i="52"/>
  <c r="V9" i="52"/>
  <c r="M9" i="52" s="1"/>
  <c r="O9" i="52"/>
  <c r="K9" i="52"/>
  <c r="G9" i="52"/>
  <c r="AD8" i="52"/>
  <c r="Z8" i="52"/>
  <c r="Z2" i="52" s="1"/>
  <c r="L6" i="51" s="1"/>
  <c r="Y8" i="52"/>
  <c r="Y2" i="52" s="1"/>
  <c r="K6" i="51" s="1"/>
  <c r="O8" i="52"/>
  <c r="K8" i="52"/>
  <c r="V7" i="52"/>
  <c r="M7" i="52" s="1"/>
  <c r="U7" i="52"/>
  <c r="O7" i="52"/>
  <c r="K7" i="52"/>
  <c r="G7" i="52"/>
  <c r="V6" i="52"/>
  <c r="M6" i="52" s="1"/>
  <c r="U6" i="52"/>
  <c r="O6" i="52"/>
  <c r="K6" i="52"/>
  <c r="G6" i="52"/>
  <c r="V5" i="52"/>
  <c r="M5" i="52" s="1"/>
  <c r="O5" i="52"/>
  <c r="K5" i="52"/>
  <c r="G5" i="52"/>
  <c r="F1" i="52" s="1"/>
  <c r="AD2" i="52"/>
  <c r="AC2" i="52"/>
  <c r="M6" i="51" s="1"/>
  <c r="H2" i="52"/>
  <c r="H1" i="52"/>
  <c r="D1" i="52"/>
  <c r="M22" i="51"/>
  <c r="L22" i="51"/>
  <c r="K22" i="51"/>
  <c r="J22" i="51"/>
  <c r="I22" i="51"/>
  <c r="H22" i="51"/>
  <c r="G22" i="51"/>
  <c r="F22" i="51"/>
  <c r="E22" i="51"/>
  <c r="D22" i="51"/>
  <c r="M21" i="51"/>
  <c r="L21" i="51"/>
  <c r="K21" i="51"/>
  <c r="J21" i="51"/>
  <c r="I21" i="51"/>
  <c r="H21" i="51"/>
  <c r="G21" i="51"/>
  <c r="F21" i="51"/>
  <c r="E21" i="51"/>
  <c r="D21" i="51"/>
  <c r="M20" i="51"/>
  <c r="L20" i="51"/>
  <c r="K20" i="51"/>
  <c r="J20" i="51"/>
  <c r="I20" i="51"/>
  <c r="H20" i="51"/>
  <c r="G20" i="51"/>
  <c r="F20" i="51"/>
  <c r="E20" i="51"/>
  <c r="D20" i="51"/>
  <c r="M19" i="51"/>
  <c r="L19" i="51"/>
  <c r="K19" i="51"/>
  <c r="I19" i="51"/>
  <c r="G19" i="51"/>
  <c r="F19" i="51"/>
  <c r="E19" i="51"/>
  <c r="D19" i="51"/>
  <c r="M18" i="51"/>
  <c r="L18" i="51"/>
  <c r="K18" i="51"/>
  <c r="J18" i="51"/>
  <c r="I18" i="51"/>
  <c r="H18" i="51"/>
  <c r="G18" i="51"/>
  <c r="F18" i="51"/>
  <c r="E18" i="51"/>
  <c r="D18" i="51"/>
  <c r="M17" i="51"/>
  <c r="L17" i="51"/>
  <c r="K17" i="51"/>
  <c r="J17" i="51"/>
  <c r="I17" i="51"/>
  <c r="H17" i="51"/>
  <c r="G17" i="51"/>
  <c r="F17" i="51"/>
  <c r="E17" i="51"/>
  <c r="D17" i="51"/>
  <c r="M16" i="51"/>
  <c r="L16" i="51"/>
  <c r="K16" i="51"/>
  <c r="J16" i="51"/>
  <c r="I16" i="51"/>
  <c r="H16" i="51"/>
  <c r="G16" i="51"/>
  <c r="F16" i="51"/>
  <c r="E16" i="51"/>
  <c r="D16" i="51"/>
  <c r="M13" i="51"/>
  <c r="L13" i="51"/>
  <c r="K13" i="51"/>
  <c r="I6" i="51" s="1"/>
  <c r="J13" i="51"/>
  <c r="I13" i="51"/>
  <c r="H13" i="51"/>
  <c r="G13" i="51"/>
  <c r="F13" i="51"/>
  <c r="D13" i="51"/>
  <c r="N6" i="51"/>
  <c r="F3" i="51"/>
  <c r="C3" i="51"/>
  <c r="G8" i="59" l="1"/>
  <c r="F8" i="59"/>
  <c r="E8" i="59"/>
  <c r="I7" i="57"/>
  <c r="I8" i="57"/>
  <c r="F7" i="57"/>
  <c r="E7" i="57"/>
  <c r="D15" i="57"/>
  <c r="G7" i="57"/>
  <c r="Q14" i="56"/>
  <c r="R9" i="56" s="1"/>
  <c r="P14" i="56"/>
  <c r="E14" i="55"/>
  <c r="E15" i="55" s="1"/>
  <c r="P34" i="56"/>
  <c r="K14" i="55"/>
  <c r="Q34" i="56"/>
  <c r="R27" i="56" s="1"/>
  <c r="D2" i="56"/>
  <c r="Q54" i="56"/>
  <c r="R47" i="56" s="1"/>
  <c r="I14" i="55"/>
  <c r="I15" i="55" s="1"/>
  <c r="P54" i="56"/>
  <c r="Q41" i="56"/>
  <c r="R35" i="56" s="1"/>
  <c r="P41" i="56"/>
  <c r="L14" i="55"/>
  <c r="L15" i="55" s="1"/>
  <c r="D15" i="55"/>
  <c r="Q60" i="56"/>
  <c r="R55" i="56" s="1"/>
  <c r="P60" i="56"/>
  <c r="J14" i="55"/>
  <c r="J15" i="55" s="1"/>
  <c r="Q19" i="56"/>
  <c r="R15" i="56" s="1"/>
  <c r="P19" i="56"/>
  <c r="F14" i="55"/>
  <c r="F15" i="55" s="1"/>
  <c r="Q46" i="56"/>
  <c r="R42" i="56" s="1"/>
  <c r="P46" i="56"/>
  <c r="H14" i="55"/>
  <c r="H15" i="55" s="1"/>
  <c r="N8" i="54"/>
  <c r="AF8" i="54"/>
  <c r="AG5" i="54" s="1"/>
  <c r="AE8" i="54"/>
  <c r="P36" i="54"/>
  <c r="Q36" i="54"/>
  <c r="Q43" i="54"/>
  <c r="P43" i="54"/>
  <c r="Q37" i="54"/>
  <c r="P37" i="54"/>
  <c r="AF53" i="54"/>
  <c r="AG46" i="54" s="1"/>
  <c r="AE53" i="54"/>
  <c r="N53" i="54"/>
  <c r="Q44" i="54"/>
  <c r="P44" i="54"/>
  <c r="Q26" i="54"/>
  <c r="P26" i="54"/>
  <c r="Q32" i="54"/>
  <c r="P32" i="54"/>
  <c r="Q64" i="54"/>
  <c r="P64" i="54"/>
  <c r="Q48" i="54"/>
  <c r="P48" i="54"/>
  <c r="Q51" i="54"/>
  <c r="P51" i="54"/>
  <c r="AF66" i="54"/>
  <c r="AG60" i="54" s="1"/>
  <c r="AE66" i="54"/>
  <c r="N66" i="54"/>
  <c r="P15" i="54"/>
  <c r="Q15" i="54"/>
  <c r="Q52" i="54"/>
  <c r="P52" i="54"/>
  <c r="Q31" i="54"/>
  <c r="P31" i="54"/>
  <c r="AE13" i="54"/>
  <c r="AF13" i="54"/>
  <c r="AG9" i="54" s="1"/>
  <c r="N13" i="54"/>
  <c r="P27" i="54"/>
  <c r="Q27" i="54"/>
  <c r="AF45" i="54"/>
  <c r="AG41" i="54" s="1"/>
  <c r="AE45" i="54"/>
  <c r="N45" i="54"/>
  <c r="AF18" i="54"/>
  <c r="AG14" i="54" s="1"/>
  <c r="AE18" i="54"/>
  <c r="N18" i="54"/>
  <c r="N40" i="54"/>
  <c r="AF40" i="54"/>
  <c r="AG34" i="54" s="1"/>
  <c r="AE40" i="54"/>
  <c r="Q62" i="54"/>
  <c r="P62" i="54"/>
  <c r="Q10" i="54"/>
  <c r="P10" i="54"/>
  <c r="Q29" i="54"/>
  <c r="P29" i="54"/>
  <c r="Q17" i="54"/>
  <c r="P17" i="54"/>
  <c r="P50" i="54"/>
  <c r="Q50" i="54"/>
  <c r="AF59" i="54"/>
  <c r="AG54" i="54" s="1"/>
  <c r="AE59" i="54"/>
  <c r="N59" i="54"/>
  <c r="Q60" i="54"/>
  <c r="P60" i="54"/>
  <c r="P24" i="54"/>
  <c r="Q24" i="54"/>
  <c r="P20" i="54"/>
  <c r="Q20" i="54"/>
  <c r="Q57" i="54"/>
  <c r="P57" i="54"/>
  <c r="AF25" i="54"/>
  <c r="AG19" i="54" s="1"/>
  <c r="AE25" i="54"/>
  <c r="N25" i="54"/>
  <c r="Q22" i="54"/>
  <c r="P22" i="54"/>
  <c r="AF33" i="54"/>
  <c r="AG26" i="54" s="1"/>
  <c r="AE33" i="54"/>
  <c r="N33" i="54"/>
  <c r="Q6" i="54"/>
  <c r="P6" i="54"/>
  <c r="Q16" i="54"/>
  <c r="P16" i="54"/>
  <c r="Q11" i="54"/>
  <c r="P11" i="54"/>
  <c r="AF33" i="52"/>
  <c r="AE33" i="52"/>
  <c r="N33" i="52"/>
  <c r="Q39" i="52"/>
  <c r="P39" i="52"/>
  <c r="N63" i="52"/>
  <c r="AF63" i="52"/>
  <c r="AE63" i="52"/>
  <c r="AF15" i="52"/>
  <c r="AE15" i="52"/>
  <c r="N15" i="52"/>
  <c r="N50" i="52"/>
  <c r="AE50" i="52"/>
  <c r="AF50" i="52"/>
  <c r="AF9" i="52"/>
  <c r="AE9" i="52"/>
  <c r="N9" i="52"/>
  <c r="M13" i="52"/>
  <c r="N27" i="52"/>
  <c r="AE27" i="52"/>
  <c r="AF27" i="52"/>
  <c r="Q44" i="52"/>
  <c r="P44" i="52"/>
  <c r="N67" i="52"/>
  <c r="AF67" i="52"/>
  <c r="AE67" i="52"/>
  <c r="AE6" i="52"/>
  <c r="N6" i="52"/>
  <c r="AF6" i="52"/>
  <c r="F2" i="52"/>
  <c r="I3" i="51"/>
  <c r="AF29" i="52"/>
  <c r="AE29" i="52"/>
  <c r="N29" i="52"/>
  <c r="AF56" i="52"/>
  <c r="M61" i="52"/>
  <c r="AE56" i="52"/>
  <c r="N56" i="52"/>
  <c r="AF7" i="52"/>
  <c r="AE7" i="52"/>
  <c r="N7" i="52"/>
  <c r="N23" i="52"/>
  <c r="AF23" i="52"/>
  <c r="AE23" i="52"/>
  <c r="AE30" i="52"/>
  <c r="N30" i="52"/>
  <c r="AF30" i="52"/>
  <c r="AF32" i="52"/>
  <c r="AE32" i="52"/>
  <c r="N32" i="52"/>
  <c r="AF57" i="52"/>
  <c r="AE57" i="52"/>
  <c r="N57" i="52"/>
  <c r="N62" i="52"/>
  <c r="AF62" i="52"/>
  <c r="AE62" i="52"/>
  <c r="M70" i="52"/>
  <c r="N64" i="52"/>
  <c r="AF64" i="52"/>
  <c r="AE64" i="52"/>
  <c r="P21" i="52"/>
  <c r="Q21" i="52"/>
  <c r="M55" i="52"/>
  <c r="N48" i="52"/>
  <c r="AF48" i="52"/>
  <c r="AE48" i="52"/>
  <c r="N59" i="52"/>
  <c r="AF59" i="52"/>
  <c r="AE59" i="52"/>
  <c r="N42" i="52"/>
  <c r="AF42" i="52"/>
  <c r="AG35" i="52" s="1"/>
  <c r="AE42" i="52"/>
  <c r="AF36" i="52"/>
  <c r="AE36" i="52"/>
  <c r="N36" i="52"/>
  <c r="G6" i="51"/>
  <c r="F6" i="51"/>
  <c r="E6" i="51"/>
  <c r="AE5" i="52"/>
  <c r="N5" i="52"/>
  <c r="AF5" i="52"/>
  <c r="M8" i="52"/>
  <c r="M34" i="52"/>
  <c r="N26" i="52"/>
  <c r="AE26" i="52"/>
  <c r="AF26" i="52"/>
  <c r="AE28" i="52"/>
  <c r="N28" i="52"/>
  <c r="AF28" i="52"/>
  <c r="Q41" i="52"/>
  <c r="P41" i="52"/>
  <c r="P43" i="52"/>
  <c r="Q43" i="52"/>
  <c r="AF31" i="52"/>
  <c r="AE31" i="52"/>
  <c r="N31" i="52"/>
  <c r="M18" i="52"/>
  <c r="AF14" i="52"/>
  <c r="AE14" i="52"/>
  <c r="N14" i="52"/>
  <c r="N49" i="52"/>
  <c r="AF49" i="52"/>
  <c r="AE49" i="52"/>
  <c r="N60" i="52"/>
  <c r="AF60" i="52"/>
  <c r="AE60" i="52"/>
  <c r="N24" i="52"/>
  <c r="AE24" i="52"/>
  <c r="AF24" i="52"/>
  <c r="P46" i="52"/>
  <c r="Q46" i="52"/>
  <c r="AF10" i="52"/>
  <c r="AE10" i="52"/>
  <c r="N10" i="52"/>
  <c r="Q22" i="52"/>
  <c r="P22" i="52"/>
  <c r="P45" i="52"/>
  <c r="Q45" i="52"/>
  <c r="N65" i="52"/>
  <c r="AF65" i="52"/>
  <c r="AE65" i="52"/>
  <c r="N58" i="52"/>
  <c r="AF58" i="52"/>
  <c r="AE58" i="52"/>
  <c r="AF12" i="52"/>
  <c r="AE12" i="52"/>
  <c r="N12" i="52"/>
  <c r="N16" i="52"/>
  <c r="N37" i="52"/>
  <c r="P17" i="52"/>
  <c r="AE22" i="52"/>
  <c r="P35" i="52"/>
  <c r="P38" i="52"/>
  <c r="P40" i="52"/>
  <c r="N11" i="52"/>
  <c r="AE21" i="52"/>
  <c r="AF22" i="52"/>
  <c r="M25" i="52"/>
  <c r="AE46" i="52"/>
  <c r="N53" i="52"/>
  <c r="AE19" i="52"/>
  <c r="AE20" i="52"/>
  <c r="AF21" i="52"/>
  <c r="AE45" i="52"/>
  <c r="AF46" i="52"/>
  <c r="N52" i="52"/>
  <c r="P54" i="52"/>
  <c r="AE41" i="52"/>
  <c r="AE43" i="52"/>
  <c r="AE44" i="52"/>
  <c r="AF45" i="52"/>
  <c r="N51" i="52"/>
  <c r="N69" i="52"/>
  <c r="AE17" i="52"/>
  <c r="AF43" i="52"/>
  <c r="M47" i="52"/>
  <c r="AE16" i="52"/>
  <c r="AE37" i="52"/>
  <c r="AE54" i="52"/>
  <c r="P66" i="52"/>
  <c r="P68" i="52"/>
  <c r="AE53" i="52"/>
  <c r="AE52" i="52"/>
  <c r="X18" i="50"/>
  <c r="W18" i="50"/>
  <c r="G8" i="57" l="1"/>
  <c r="F8" i="57"/>
  <c r="E8" i="57"/>
  <c r="G8" i="55"/>
  <c r="F8" i="55"/>
  <c r="K15" i="55"/>
  <c r="I8" i="55" s="1"/>
  <c r="I7" i="55"/>
  <c r="E7" i="55"/>
  <c r="F7" i="55"/>
  <c r="G7" i="55"/>
  <c r="J14" i="53"/>
  <c r="J15" i="53" s="1"/>
  <c r="Q59" i="54"/>
  <c r="R54" i="54" s="1"/>
  <c r="P59" i="54"/>
  <c r="K14" i="53"/>
  <c r="Q33" i="54"/>
  <c r="R26" i="54" s="1"/>
  <c r="P33" i="54"/>
  <c r="I14" i="53"/>
  <c r="I15" i="53" s="1"/>
  <c r="Q53" i="54"/>
  <c r="R46" i="54" s="1"/>
  <c r="P53" i="54"/>
  <c r="P25" i="54"/>
  <c r="G14" i="53"/>
  <c r="G15" i="53" s="1"/>
  <c r="Q25" i="54"/>
  <c r="R19" i="54" s="1"/>
  <c r="Q66" i="54"/>
  <c r="R60" i="54" s="1"/>
  <c r="P66" i="54"/>
  <c r="M14" i="53"/>
  <c r="M15" i="53" s="1"/>
  <c r="Q13" i="54"/>
  <c r="R9" i="54" s="1"/>
  <c r="P13" i="54"/>
  <c r="E14" i="53"/>
  <c r="E15" i="53" s="1"/>
  <c r="P18" i="54"/>
  <c r="Q18" i="54"/>
  <c r="R14" i="54" s="1"/>
  <c r="F14" i="53"/>
  <c r="F15" i="53" s="1"/>
  <c r="L14" i="53"/>
  <c r="L15" i="53" s="1"/>
  <c r="Q40" i="54"/>
  <c r="R34" i="54" s="1"/>
  <c r="P40" i="54"/>
  <c r="H14" i="53"/>
  <c r="H15" i="53" s="1"/>
  <c r="Q45" i="54"/>
  <c r="R41" i="54" s="1"/>
  <c r="P45" i="54"/>
  <c r="D14" i="53"/>
  <c r="P8" i="54"/>
  <c r="D2" i="54"/>
  <c r="Q8" i="54"/>
  <c r="R5" i="54" s="1"/>
  <c r="N47" i="52"/>
  <c r="AF47" i="52"/>
  <c r="AG43" i="52" s="1"/>
  <c r="AE47" i="52"/>
  <c r="Q31" i="52"/>
  <c r="P31" i="52"/>
  <c r="Q26" i="52"/>
  <c r="P26" i="52"/>
  <c r="N61" i="52"/>
  <c r="AF61" i="52"/>
  <c r="AG56" i="52" s="1"/>
  <c r="AE61" i="52"/>
  <c r="Q67" i="52"/>
  <c r="P67" i="52"/>
  <c r="Q50" i="52"/>
  <c r="P50" i="52"/>
  <c r="Q65" i="52"/>
  <c r="P65" i="52"/>
  <c r="Q15" i="52"/>
  <c r="P15" i="52"/>
  <c r="AF8" i="52"/>
  <c r="AG5" i="52" s="1"/>
  <c r="AE8" i="52"/>
  <c r="N8" i="52"/>
  <c r="P42" i="52"/>
  <c r="Q42" i="52"/>
  <c r="R35" i="52" s="1"/>
  <c r="L14" i="51"/>
  <c r="L15" i="51" s="1"/>
  <c r="Q64" i="52"/>
  <c r="P64" i="52"/>
  <c r="Q30" i="52"/>
  <c r="P30" i="52"/>
  <c r="Q29" i="52"/>
  <c r="P29" i="52"/>
  <c r="Q24" i="52"/>
  <c r="P24" i="52"/>
  <c r="Q69" i="52"/>
  <c r="P69" i="52"/>
  <c r="AF70" i="52"/>
  <c r="AG62" i="52" s="1"/>
  <c r="AE70" i="52"/>
  <c r="N70" i="52"/>
  <c r="Q37" i="52"/>
  <c r="P37" i="52"/>
  <c r="Q51" i="52"/>
  <c r="P51" i="52"/>
  <c r="Q53" i="52"/>
  <c r="P53" i="52"/>
  <c r="Q16" i="52"/>
  <c r="P16" i="52"/>
  <c r="P60" i="52"/>
  <c r="Q60" i="52"/>
  <c r="Q5" i="52"/>
  <c r="P5" i="52"/>
  <c r="Q27" i="52"/>
  <c r="P27" i="52"/>
  <c r="Q12" i="52"/>
  <c r="P12" i="52"/>
  <c r="Q10" i="52"/>
  <c r="P10" i="52"/>
  <c r="Q62" i="52"/>
  <c r="P62" i="52"/>
  <c r="Q23" i="52"/>
  <c r="P23" i="52"/>
  <c r="AF13" i="52"/>
  <c r="AG9" i="52" s="1"/>
  <c r="AE13" i="52"/>
  <c r="N13" i="52"/>
  <c r="P63" i="52"/>
  <c r="Q63" i="52"/>
  <c r="Q49" i="52"/>
  <c r="P49" i="52"/>
  <c r="Q57" i="52"/>
  <c r="P57" i="52"/>
  <c r="Q7" i="52"/>
  <c r="P7" i="52"/>
  <c r="Q9" i="52"/>
  <c r="P9" i="52"/>
  <c r="Q14" i="52"/>
  <c r="P14" i="52"/>
  <c r="Q28" i="52"/>
  <c r="P28" i="52"/>
  <c r="Q48" i="52"/>
  <c r="P48" i="52"/>
  <c r="Q6" i="52"/>
  <c r="P6" i="52"/>
  <c r="Q11" i="52"/>
  <c r="P11" i="52"/>
  <c r="Q36" i="52"/>
  <c r="P36" i="52"/>
  <c r="AF55" i="52"/>
  <c r="AG48" i="52" s="1"/>
  <c r="AE55" i="52"/>
  <c r="N55" i="52"/>
  <c r="Q33" i="52"/>
  <c r="P33" i="52"/>
  <c r="AE25" i="52"/>
  <c r="N25" i="52"/>
  <c r="AF25" i="52"/>
  <c r="AG19" i="52" s="1"/>
  <c r="Q52" i="52"/>
  <c r="P52" i="52"/>
  <c r="Q58" i="52"/>
  <c r="P58" i="52"/>
  <c r="Q32" i="52"/>
  <c r="P32" i="52"/>
  <c r="Q56" i="52"/>
  <c r="P56" i="52"/>
  <c r="AF34" i="52"/>
  <c r="AG26" i="52" s="1"/>
  <c r="AE34" i="52"/>
  <c r="N34" i="52"/>
  <c r="P59" i="52"/>
  <c r="Q59" i="52"/>
  <c r="N18" i="52"/>
  <c r="AF18" i="52"/>
  <c r="AG14" i="52" s="1"/>
  <c r="AE18" i="52"/>
  <c r="AD73" i="50"/>
  <c r="Z73" i="50"/>
  <c r="Y73" i="50"/>
  <c r="O73" i="50"/>
  <c r="K73" i="50"/>
  <c r="V72" i="50"/>
  <c r="U72" i="50"/>
  <c r="O72" i="50"/>
  <c r="M72" i="50"/>
  <c r="AF72" i="50" s="1"/>
  <c r="K72" i="50"/>
  <c r="G72" i="50"/>
  <c r="V71" i="50"/>
  <c r="U71" i="50"/>
  <c r="O71" i="50"/>
  <c r="M71" i="50"/>
  <c r="AE71" i="50" s="1"/>
  <c r="K71" i="50"/>
  <c r="G71" i="50"/>
  <c r="AF70" i="50"/>
  <c r="AE70" i="50"/>
  <c r="V70" i="50"/>
  <c r="U70" i="50"/>
  <c r="O70" i="50"/>
  <c r="M70" i="50"/>
  <c r="N70" i="50" s="1"/>
  <c r="K70" i="50"/>
  <c r="G70" i="50"/>
  <c r="AE69" i="50"/>
  <c r="X69" i="50"/>
  <c r="W69" i="50"/>
  <c r="V69" i="50"/>
  <c r="U69" i="50"/>
  <c r="O69" i="50"/>
  <c r="M69" i="50"/>
  <c r="N69" i="50" s="1"/>
  <c r="K69" i="50"/>
  <c r="G69" i="50"/>
  <c r="AF68" i="50"/>
  <c r="AE68" i="50"/>
  <c r="V68" i="50"/>
  <c r="U68" i="50"/>
  <c r="O68" i="50"/>
  <c r="M68" i="50"/>
  <c r="N68" i="50" s="1"/>
  <c r="K68" i="50"/>
  <c r="G68" i="50"/>
  <c r="V67" i="50"/>
  <c r="M67" i="50" s="1"/>
  <c r="U67" i="50"/>
  <c r="O67" i="50"/>
  <c r="K67" i="50"/>
  <c r="G67" i="50"/>
  <c r="V66" i="50"/>
  <c r="M66" i="50" s="1"/>
  <c r="U66" i="50"/>
  <c r="O66" i="50"/>
  <c r="K66" i="50"/>
  <c r="G66" i="50"/>
  <c r="AF65" i="50"/>
  <c r="AE65" i="50"/>
  <c r="X65" i="50"/>
  <c r="W65" i="50"/>
  <c r="V65" i="50"/>
  <c r="O65" i="50"/>
  <c r="M65" i="50"/>
  <c r="N65" i="50" s="1"/>
  <c r="K65" i="50"/>
  <c r="G65" i="50"/>
  <c r="AD64" i="50"/>
  <c r="Z64" i="50"/>
  <c r="Y64" i="50"/>
  <c r="O64" i="50"/>
  <c r="K64" i="50"/>
  <c r="V63" i="50"/>
  <c r="M63" i="50" s="1"/>
  <c r="U63" i="50"/>
  <c r="O63" i="50"/>
  <c r="K63" i="50"/>
  <c r="G63" i="50"/>
  <c r="V62" i="50"/>
  <c r="M62" i="50" s="1"/>
  <c r="U62" i="50"/>
  <c r="O62" i="50"/>
  <c r="K62" i="50"/>
  <c r="G62" i="50"/>
  <c r="V61" i="50"/>
  <c r="M61" i="50" s="1"/>
  <c r="U61" i="50"/>
  <c r="O61" i="50"/>
  <c r="K61" i="50"/>
  <c r="G61" i="50"/>
  <c r="V60" i="50"/>
  <c r="M60" i="50" s="1"/>
  <c r="U60" i="50"/>
  <c r="O60" i="50"/>
  <c r="K60" i="50"/>
  <c r="G60" i="50"/>
  <c r="V59" i="50"/>
  <c r="M59" i="50" s="1"/>
  <c r="O59" i="50"/>
  <c r="K59" i="50"/>
  <c r="G59" i="50"/>
  <c r="AD58" i="50"/>
  <c r="I20" i="49"/>
  <c r="Z58" i="50"/>
  <c r="Y58" i="50"/>
  <c r="Y2" i="50" s="1"/>
  <c r="K6" i="49" s="1"/>
  <c r="O58" i="50"/>
  <c r="K58" i="50"/>
  <c r="V57" i="50"/>
  <c r="M57" i="50" s="1"/>
  <c r="U57" i="50"/>
  <c r="O57" i="50"/>
  <c r="K57" i="50"/>
  <c r="G57" i="50"/>
  <c r="V56" i="50"/>
  <c r="M56" i="50" s="1"/>
  <c r="U56" i="50"/>
  <c r="O56" i="50"/>
  <c r="K56" i="50"/>
  <c r="G56" i="50"/>
  <c r="V55" i="50"/>
  <c r="U55" i="50"/>
  <c r="O55" i="50"/>
  <c r="N55" i="50"/>
  <c r="P55" i="50" s="1"/>
  <c r="M55" i="50"/>
  <c r="AF55" i="50" s="1"/>
  <c r="K55" i="50"/>
  <c r="G55" i="50"/>
  <c r="V54" i="50"/>
  <c r="U54" i="50"/>
  <c r="O54" i="50"/>
  <c r="M54" i="50"/>
  <c r="AF54" i="50" s="1"/>
  <c r="K54" i="50"/>
  <c r="G54" i="50"/>
  <c r="V53" i="50"/>
  <c r="U53" i="50"/>
  <c r="O53" i="50"/>
  <c r="N53" i="50"/>
  <c r="Q53" i="50" s="1"/>
  <c r="M53" i="50"/>
  <c r="AF53" i="50" s="1"/>
  <c r="K53" i="50"/>
  <c r="G53" i="50"/>
  <c r="V52" i="50"/>
  <c r="U52" i="50"/>
  <c r="O52" i="50"/>
  <c r="M52" i="50"/>
  <c r="AF52" i="50" s="1"/>
  <c r="K52" i="50"/>
  <c r="G52" i="50"/>
  <c r="V51" i="50"/>
  <c r="O51" i="50"/>
  <c r="M51" i="50"/>
  <c r="AF51" i="50" s="1"/>
  <c r="K51" i="50"/>
  <c r="G51" i="50"/>
  <c r="AD50" i="50"/>
  <c r="Z50" i="50"/>
  <c r="Y50" i="50"/>
  <c r="O50" i="50"/>
  <c r="K50" i="50"/>
  <c r="V49" i="50"/>
  <c r="U49" i="50"/>
  <c r="O49" i="50"/>
  <c r="M49" i="50"/>
  <c r="AE49" i="50" s="1"/>
  <c r="K49" i="50"/>
  <c r="G49" i="50"/>
  <c r="AF48" i="50"/>
  <c r="V48" i="50"/>
  <c r="U48" i="50"/>
  <c r="O48" i="50"/>
  <c r="M48" i="50"/>
  <c r="N48" i="50" s="1"/>
  <c r="K48" i="50"/>
  <c r="G48" i="50"/>
  <c r="V47" i="50"/>
  <c r="M47" i="50" s="1"/>
  <c r="U47" i="50"/>
  <c r="O47" i="50"/>
  <c r="K47" i="50"/>
  <c r="G47" i="50"/>
  <c r="AE46" i="50"/>
  <c r="X46" i="50"/>
  <c r="W46" i="50"/>
  <c r="V46" i="50"/>
  <c r="O46" i="50"/>
  <c r="M46" i="50"/>
  <c r="N46" i="50" s="1"/>
  <c r="K46" i="50"/>
  <c r="G46" i="50"/>
  <c r="AD45" i="50"/>
  <c r="Z45" i="50"/>
  <c r="Y45" i="50"/>
  <c r="O45" i="50"/>
  <c r="K45" i="50"/>
  <c r="AF44" i="50"/>
  <c r="V44" i="50"/>
  <c r="U44" i="50"/>
  <c r="O44" i="50"/>
  <c r="M44" i="50"/>
  <c r="N44" i="50" s="1"/>
  <c r="K44" i="50"/>
  <c r="G44" i="50"/>
  <c r="V43" i="50"/>
  <c r="M43" i="50" s="1"/>
  <c r="U43" i="50"/>
  <c r="O43" i="50"/>
  <c r="K43" i="50"/>
  <c r="G43" i="50"/>
  <c r="V42" i="50"/>
  <c r="M42" i="50" s="1"/>
  <c r="U42" i="50"/>
  <c r="O42" i="50"/>
  <c r="K42" i="50"/>
  <c r="G42" i="50"/>
  <c r="X41" i="50"/>
  <c r="W41" i="50"/>
  <c r="V41" i="50"/>
  <c r="M41" i="50" s="1"/>
  <c r="U41" i="50"/>
  <c r="O41" i="50"/>
  <c r="K41" i="50"/>
  <c r="G41" i="50"/>
  <c r="V40" i="50"/>
  <c r="M40" i="50" s="1"/>
  <c r="U40" i="50"/>
  <c r="O40" i="50"/>
  <c r="K40" i="50"/>
  <c r="G40" i="50"/>
  <c r="V39" i="50"/>
  <c r="M39" i="50" s="1"/>
  <c r="U39" i="50"/>
  <c r="O39" i="50"/>
  <c r="K39" i="50"/>
  <c r="G39" i="50"/>
  <c r="V38" i="50"/>
  <c r="M38" i="50" s="1"/>
  <c r="U38" i="50"/>
  <c r="O38" i="50"/>
  <c r="K38" i="50"/>
  <c r="G38" i="50"/>
  <c r="X37" i="50"/>
  <c r="W37" i="50"/>
  <c r="V37" i="50"/>
  <c r="M37" i="50" s="1"/>
  <c r="O37" i="50"/>
  <c r="K37" i="50"/>
  <c r="G37" i="50"/>
  <c r="AD36" i="50"/>
  <c r="K20" i="49"/>
  <c r="Z36" i="50"/>
  <c r="Y36" i="50"/>
  <c r="O36" i="50"/>
  <c r="K36" i="50"/>
  <c r="V35" i="50"/>
  <c r="M35" i="50" s="1"/>
  <c r="U35" i="50"/>
  <c r="O35" i="50"/>
  <c r="K35" i="50"/>
  <c r="G35" i="50"/>
  <c r="V34" i="50"/>
  <c r="M34" i="50" s="1"/>
  <c r="U34" i="50"/>
  <c r="O34" i="50"/>
  <c r="K34" i="50"/>
  <c r="G34" i="50"/>
  <c r="V33" i="50"/>
  <c r="M33" i="50" s="1"/>
  <c r="U33" i="50"/>
  <c r="O33" i="50"/>
  <c r="K33" i="50"/>
  <c r="G33" i="50"/>
  <c r="X32" i="50"/>
  <c r="W32" i="50"/>
  <c r="V32" i="50"/>
  <c r="M32" i="50" s="1"/>
  <c r="U32" i="50"/>
  <c r="O32" i="50"/>
  <c r="K32" i="50"/>
  <c r="G32" i="50"/>
  <c r="V31" i="50"/>
  <c r="M31" i="50" s="1"/>
  <c r="U31" i="50"/>
  <c r="O31" i="50"/>
  <c r="K31" i="50"/>
  <c r="G31" i="50"/>
  <c r="V30" i="50"/>
  <c r="M30" i="50" s="1"/>
  <c r="U30" i="50"/>
  <c r="O30" i="50"/>
  <c r="K30" i="50"/>
  <c r="G30" i="50"/>
  <c r="V29" i="50"/>
  <c r="M29" i="50" s="1"/>
  <c r="U29" i="50"/>
  <c r="O29" i="50"/>
  <c r="K29" i="50"/>
  <c r="G29" i="50"/>
  <c r="X28" i="50"/>
  <c r="W28" i="50"/>
  <c r="V28" i="50"/>
  <c r="M28" i="50" s="1"/>
  <c r="O28" i="50"/>
  <c r="K28" i="50"/>
  <c r="G28" i="50"/>
  <c r="AD27" i="50"/>
  <c r="Z27" i="50"/>
  <c r="G19" i="49" s="1"/>
  <c r="Y27" i="50"/>
  <c r="O27" i="50"/>
  <c r="K27" i="50"/>
  <c r="V26" i="50"/>
  <c r="M26" i="50" s="1"/>
  <c r="U26" i="50"/>
  <c r="O26" i="50"/>
  <c r="K26" i="50"/>
  <c r="G26" i="50"/>
  <c r="V25" i="50"/>
  <c r="M25" i="50" s="1"/>
  <c r="U25" i="50"/>
  <c r="O25" i="50"/>
  <c r="K25" i="50"/>
  <c r="G25" i="50"/>
  <c r="V24" i="50"/>
  <c r="U24" i="50"/>
  <c r="O24" i="50"/>
  <c r="M24" i="50"/>
  <c r="AF24" i="50" s="1"/>
  <c r="K24" i="50"/>
  <c r="G24" i="50"/>
  <c r="V23" i="50"/>
  <c r="U23" i="50"/>
  <c r="O23" i="50"/>
  <c r="N23" i="50"/>
  <c r="Q23" i="50" s="1"/>
  <c r="M23" i="50"/>
  <c r="AF23" i="50" s="1"/>
  <c r="K23" i="50"/>
  <c r="G23" i="50"/>
  <c r="V22" i="50"/>
  <c r="U22" i="50"/>
  <c r="O22" i="50"/>
  <c r="M22" i="50"/>
  <c r="AF22" i="50" s="1"/>
  <c r="K22" i="50"/>
  <c r="G22" i="50"/>
  <c r="V21" i="50"/>
  <c r="O21" i="50"/>
  <c r="M21" i="50"/>
  <c r="AF21" i="50" s="1"/>
  <c r="K21" i="50"/>
  <c r="G21" i="50"/>
  <c r="AD20" i="50"/>
  <c r="Z20" i="50"/>
  <c r="Y20" i="50"/>
  <c r="O20" i="50"/>
  <c r="K20" i="50"/>
  <c r="F13" i="49" s="1"/>
  <c r="V19" i="50"/>
  <c r="U19" i="50"/>
  <c r="O19" i="50"/>
  <c r="M19" i="50"/>
  <c r="AE19" i="50" s="1"/>
  <c r="K19" i="50"/>
  <c r="G19" i="50"/>
  <c r="AF18" i="50"/>
  <c r="V18" i="50"/>
  <c r="U18" i="50"/>
  <c r="O18" i="50"/>
  <c r="M18" i="50"/>
  <c r="N18" i="50" s="1"/>
  <c r="K18" i="50"/>
  <c r="G18" i="50"/>
  <c r="AE17" i="50"/>
  <c r="V17" i="50"/>
  <c r="U17" i="50"/>
  <c r="O17" i="50"/>
  <c r="M17" i="50"/>
  <c r="N17" i="50" s="1"/>
  <c r="K17" i="50"/>
  <c r="G17" i="50"/>
  <c r="V16" i="50"/>
  <c r="M16" i="50" s="1"/>
  <c r="U16" i="50"/>
  <c r="O16" i="50"/>
  <c r="K16" i="50"/>
  <c r="G16" i="50"/>
  <c r="V15" i="50"/>
  <c r="M15" i="50" s="1"/>
  <c r="O15" i="50"/>
  <c r="K15" i="50"/>
  <c r="G15" i="50"/>
  <c r="AD14" i="50"/>
  <c r="E20" i="49"/>
  <c r="Z14" i="50"/>
  <c r="Y14" i="50"/>
  <c r="O14" i="50"/>
  <c r="K14" i="50"/>
  <c r="V13" i="50"/>
  <c r="M13" i="50" s="1"/>
  <c r="U13" i="50"/>
  <c r="O13" i="50"/>
  <c r="K13" i="50"/>
  <c r="G13" i="50"/>
  <c r="V12" i="50"/>
  <c r="M12" i="50" s="1"/>
  <c r="U12" i="50"/>
  <c r="O12" i="50"/>
  <c r="K12" i="50"/>
  <c r="G12" i="50"/>
  <c r="X11" i="50"/>
  <c r="W11" i="50"/>
  <c r="V11" i="50"/>
  <c r="M11" i="50" s="1"/>
  <c r="U11" i="50"/>
  <c r="O11" i="50"/>
  <c r="K11" i="50"/>
  <c r="G11" i="50"/>
  <c r="V10" i="50"/>
  <c r="M10" i="50" s="1"/>
  <c r="U10" i="50"/>
  <c r="O10" i="50"/>
  <c r="K10" i="50"/>
  <c r="G10" i="50"/>
  <c r="X9" i="50"/>
  <c r="W9" i="50"/>
  <c r="V9" i="50"/>
  <c r="M9" i="50" s="1"/>
  <c r="O9" i="50"/>
  <c r="K9" i="50"/>
  <c r="G9" i="50"/>
  <c r="AD8" i="50"/>
  <c r="AD2" i="50" s="1"/>
  <c r="N6" i="49" s="1"/>
  <c r="D20" i="49"/>
  <c r="Z8" i="50"/>
  <c r="Y8" i="50"/>
  <c r="O8" i="50"/>
  <c r="K8" i="50"/>
  <c r="V7" i="50"/>
  <c r="M7" i="50" s="1"/>
  <c r="U7" i="50"/>
  <c r="O7" i="50"/>
  <c r="K7" i="50"/>
  <c r="G7" i="50"/>
  <c r="V6" i="50"/>
  <c r="M6" i="50" s="1"/>
  <c r="U6" i="50"/>
  <c r="O6" i="50"/>
  <c r="K6" i="50"/>
  <c r="G6" i="50"/>
  <c r="V5" i="50"/>
  <c r="M5" i="50" s="1"/>
  <c r="O5" i="50"/>
  <c r="K5" i="50"/>
  <c r="G5" i="50"/>
  <c r="F1" i="50" s="1"/>
  <c r="H2" i="50"/>
  <c r="H1" i="50"/>
  <c r="D1" i="50"/>
  <c r="M22" i="49"/>
  <c r="L22" i="49"/>
  <c r="K22" i="49"/>
  <c r="J22" i="49"/>
  <c r="I22" i="49"/>
  <c r="H22" i="49"/>
  <c r="G22" i="49"/>
  <c r="F22" i="49"/>
  <c r="E22" i="49"/>
  <c r="D22" i="49"/>
  <c r="M21" i="49"/>
  <c r="L21" i="49"/>
  <c r="K21" i="49"/>
  <c r="J21" i="49"/>
  <c r="I21" i="49"/>
  <c r="H21" i="49"/>
  <c r="G21" i="49"/>
  <c r="F21" i="49"/>
  <c r="E21" i="49"/>
  <c r="D21" i="49"/>
  <c r="M20" i="49"/>
  <c r="L20" i="49"/>
  <c r="J20" i="49"/>
  <c r="H20" i="49"/>
  <c r="G20" i="49"/>
  <c r="F20" i="49"/>
  <c r="M19" i="49"/>
  <c r="L19" i="49"/>
  <c r="K19" i="49"/>
  <c r="J19" i="49"/>
  <c r="I19" i="49"/>
  <c r="H19" i="49"/>
  <c r="F19" i="49"/>
  <c r="E19" i="49"/>
  <c r="D19" i="49"/>
  <c r="M18" i="49"/>
  <c r="L18" i="49"/>
  <c r="K18" i="49"/>
  <c r="J18" i="49"/>
  <c r="H18" i="49"/>
  <c r="G18" i="49"/>
  <c r="F18" i="49"/>
  <c r="E18" i="49"/>
  <c r="D18" i="49"/>
  <c r="M17" i="49"/>
  <c r="L17" i="49"/>
  <c r="K17" i="49"/>
  <c r="J17" i="49"/>
  <c r="I17" i="49"/>
  <c r="H17" i="49"/>
  <c r="G17" i="49"/>
  <c r="F17" i="49"/>
  <c r="E17" i="49"/>
  <c r="D17" i="49"/>
  <c r="M16" i="49"/>
  <c r="L16" i="49"/>
  <c r="K16" i="49"/>
  <c r="J16" i="49"/>
  <c r="I16" i="49"/>
  <c r="H16" i="49"/>
  <c r="G16" i="49"/>
  <c r="F16" i="49"/>
  <c r="E16" i="49"/>
  <c r="D16" i="49"/>
  <c r="M13" i="49"/>
  <c r="L13" i="49"/>
  <c r="K13" i="49"/>
  <c r="I6" i="49" s="1"/>
  <c r="J13" i="49"/>
  <c r="I13" i="49"/>
  <c r="H13" i="49"/>
  <c r="G13" i="49"/>
  <c r="E13" i="49"/>
  <c r="D13" i="49"/>
  <c r="F3" i="49"/>
  <c r="C3" i="49"/>
  <c r="E8" i="55" l="1"/>
  <c r="G7" i="53"/>
  <c r="E7" i="53"/>
  <c r="D15" i="53"/>
  <c r="F7" i="53"/>
  <c r="I7" i="53"/>
  <c r="K15" i="53"/>
  <c r="I8" i="53" s="1"/>
  <c r="P18" i="52"/>
  <c r="F14" i="51"/>
  <c r="F15" i="51" s="1"/>
  <c r="Q18" i="52"/>
  <c r="R14" i="52" s="1"/>
  <c r="D2" i="52"/>
  <c r="Q8" i="52"/>
  <c r="R5" i="52" s="1"/>
  <c r="P8" i="52"/>
  <c r="D14" i="51"/>
  <c r="Q61" i="52"/>
  <c r="R56" i="52" s="1"/>
  <c r="P61" i="52"/>
  <c r="J14" i="51"/>
  <c r="J15" i="51" s="1"/>
  <c r="Q34" i="52"/>
  <c r="R26" i="52" s="1"/>
  <c r="K14" i="51"/>
  <c r="P34" i="52"/>
  <c r="Q25" i="52"/>
  <c r="R19" i="52" s="1"/>
  <c r="P25" i="52"/>
  <c r="G14" i="51"/>
  <c r="G15" i="51" s="1"/>
  <c r="Q55" i="52"/>
  <c r="R48" i="52" s="1"/>
  <c r="I14" i="51"/>
  <c r="I15" i="51" s="1"/>
  <c r="P55" i="52"/>
  <c r="Q13" i="52"/>
  <c r="R9" i="52" s="1"/>
  <c r="P13" i="52"/>
  <c r="E14" i="51"/>
  <c r="E15" i="51" s="1"/>
  <c r="Q70" i="52"/>
  <c r="R62" i="52" s="1"/>
  <c r="P70" i="52"/>
  <c r="M14" i="51"/>
  <c r="M15" i="51" s="1"/>
  <c r="Q47" i="52"/>
  <c r="R43" i="52" s="1"/>
  <c r="P47" i="52"/>
  <c r="H14" i="51"/>
  <c r="H15" i="51" s="1"/>
  <c r="Q48" i="50"/>
  <c r="P48" i="50"/>
  <c r="N60" i="50"/>
  <c r="AF60" i="50"/>
  <c r="AE60" i="50"/>
  <c r="Q65" i="50"/>
  <c r="P65" i="50"/>
  <c r="Q70" i="50"/>
  <c r="P70" i="50"/>
  <c r="Q17" i="50"/>
  <c r="P17" i="50"/>
  <c r="N12" i="50"/>
  <c r="AF12" i="50"/>
  <c r="AE12" i="50"/>
  <c r="AF29" i="50"/>
  <c r="AE29" i="50"/>
  <c r="N29" i="50"/>
  <c r="N63" i="50"/>
  <c r="AE63" i="50"/>
  <c r="AF63" i="50"/>
  <c r="Q69" i="50"/>
  <c r="P69" i="50"/>
  <c r="N38" i="50"/>
  <c r="AF38" i="50"/>
  <c r="AE38" i="50"/>
  <c r="AF56" i="50"/>
  <c r="AE56" i="50"/>
  <c r="N56" i="50"/>
  <c r="N67" i="50"/>
  <c r="AE67" i="50"/>
  <c r="AF67" i="50"/>
  <c r="N10" i="50"/>
  <c r="AF10" i="50"/>
  <c r="AE10" i="50"/>
  <c r="AF25" i="50"/>
  <c r="AE25" i="50"/>
  <c r="N25" i="50"/>
  <c r="N61" i="50"/>
  <c r="AE61" i="50"/>
  <c r="AF61" i="50"/>
  <c r="N15" i="50"/>
  <c r="AF15" i="50"/>
  <c r="M20" i="50"/>
  <c r="AE15" i="50"/>
  <c r="N32" i="50"/>
  <c r="AF32" i="50"/>
  <c r="AE32" i="50"/>
  <c r="N34" i="50"/>
  <c r="AF34" i="50"/>
  <c r="AE34" i="50"/>
  <c r="N9" i="50"/>
  <c r="M14" i="50"/>
  <c r="AF9" i="50"/>
  <c r="AE9" i="50"/>
  <c r="N13" i="50"/>
  <c r="AE13" i="50"/>
  <c r="AF13" i="50"/>
  <c r="N43" i="50"/>
  <c r="AE43" i="50"/>
  <c r="AF43" i="50"/>
  <c r="N59" i="50"/>
  <c r="AF59" i="50"/>
  <c r="M64" i="50"/>
  <c r="AE59" i="50"/>
  <c r="Q68" i="50"/>
  <c r="P68" i="50"/>
  <c r="N6" i="50"/>
  <c r="AF6" i="50"/>
  <c r="AE6" i="50"/>
  <c r="F2" i="50"/>
  <c r="I3" i="49"/>
  <c r="Q18" i="50"/>
  <c r="P18" i="50"/>
  <c r="N28" i="50"/>
  <c r="AF28" i="50"/>
  <c r="AE28" i="50"/>
  <c r="M36" i="50"/>
  <c r="AF30" i="50"/>
  <c r="AE30" i="50"/>
  <c r="N30" i="50"/>
  <c r="G6" i="49"/>
  <c r="F6" i="49"/>
  <c r="E6" i="49"/>
  <c r="N7" i="50"/>
  <c r="AE7" i="50"/>
  <c r="AF7" i="50"/>
  <c r="N37" i="50"/>
  <c r="M45" i="50"/>
  <c r="AF37" i="50"/>
  <c r="AE37" i="50"/>
  <c r="N39" i="50"/>
  <c r="AE39" i="50"/>
  <c r="AF39" i="50"/>
  <c r="N47" i="50"/>
  <c r="AE47" i="50"/>
  <c r="AF47" i="50"/>
  <c r="N57" i="50"/>
  <c r="AF57" i="50"/>
  <c r="AE57" i="50"/>
  <c r="N31" i="50"/>
  <c r="AF31" i="50"/>
  <c r="AE31" i="50"/>
  <c r="N40" i="50"/>
  <c r="AF40" i="50"/>
  <c r="AE40" i="50"/>
  <c r="N16" i="50"/>
  <c r="AF16" i="50"/>
  <c r="AE16" i="50"/>
  <c r="AF26" i="50"/>
  <c r="AE26" i="50"/>
  <c r="N26" i="50"/>
  <c r="Q44" i="50"/>
  <c r="P44" i="50"/>
  <c r="N62" i="50"/>
  <c r="AF62" i="50"/>
  <c r="AE62" i="50"/>
  <c r="N33" i="50"/>
  <c r="AF33" i="50"/>
  <c r="AE33" i="50"/>
  <c r="N42" i="50"/>
  <c r="AF42" i="50"/>
  <c r="AE42" i="50"/>
  <c r="N11" i="50"/>
  <c r="AF11" i="50"/>
  <c r="AE11" i="50"/>
  <c r="AE41" i="50"/>
  <c r="N41" i="50"/>
  <c r="AF41" i="50"/>
  <c r="N5" i="50"/>
  <c r="M8" i="50"/>
  <c r="AF5" i="50"/>
  <c r="AE5" i="50"/>
  <c r="N35" i="50"/>
  <c r="AE35" i="50"/>
  <c r="AF35" i="50"/>
  <c r="Q46" i="50"/>
  <c r="P46" i="50"/>
  <c r="N66" i="50"/>
  <c r="AF66" i="50"/>
  <c r="M73" i="50"/>
  <c r="AE66" i="50"/>
  <c r="I18" i="49"/>
  <c r="AE18" i="50"/>
  <c r="AF19" i="50"/>
  <c r="AE44" i="50"/>
  <c r="AE48" i="50"/>
  <c r="AF49" i="50"/>
  <c r="AF71" i="50"/>
  <c r="AF17" i="50"/>
  <c r="N24" i="50"/>
  <c r="AF46" i="50"/>
  <c r="M50" i="50"/>
  <c r="N54" i="50"/>
  <c r="AF69" i="50"/>
  <c r="Z2" i="50"/>
  <c r="L6" i="49" s="1"/>
  <c r="N21" i="50"/>
  <c r="N22" i="50"/>
  <c r="N51" i="50"/>
  <c r="N52" i="50"/>
  <c r="Q55" i="50"/>
  <c r="N72" i="50"/>
  <c r="M6" i="49"/>
  <c r="N19" i="50"/>
  <c r="P23" i="50"/>
  <c r="N49" i="50"/>
  <c r="P53" i="50"/>
  <c r="N71" i="50"/>
  <c r="AE55" i="50"/>
  <c r="AE24" i="50"/>
  <c r="AE54" i="50"/>
  <c r="M58" i="50"/>
  <c r="AE23" i="50"/>
  <c r="M27" i="50"/>
  <c r="AE53" i="50"/>
  <c r="AE21" i="50"/>
  <c r="AE22" i="50"/>
  <c r="AE51" i="50"/>
  <c r="AE52" i="50"/>
  <c r="AE72" i="50"/>
  <c r="AD75" i="48"/>
  <c r="Z75" i="48"/>
  <c r="Y75" i="48"/>
  <c r="O75" i="48"/>
  <c r="K75" i="48"/>
  <c r="AF74" i="48"/>
  <c r="V74" i="48"/>
  <c r="U74" i="48"/>
  <c r="O74" i="48"/>
  <c r="N74" i="48"/>
  <c r="M74" i="48"/>
  <c r="AE74" i="48" s="1"/>
  <c r="K74" i="48"/>
  <c r="G74" i="48"/>
  <c r="V73" i="48"/>
  <c r="U73" i="48"/>
  <c r="O73" i="48"/>
  <c r="M73" i="48"/>
  <c r="K73" i="48"/>
  <c r="G73" i="48"/>
  <c r="V72" i="48"/>
  <c r="M72" i="48" s="1"/>
  <c r="AF72" i="48" s="1"/>
  <c r="U72" i="48"/>
  <c r="O72" i="48"/>
  <c r="K72" i="48"/>
  <c r="G72" i="48"/>
  <c r="X71" i="48"/>
  <c r="W71" i="48"/>
  <c r="V71" i="48"/>
  <c r="U71" i="48"/>
  <c r="O71" i="48"/>
  <c r="M71" i="48"/>
  <c r="N71" i="48" s="1"/>
  <c r="K71" i="48"/>
  <c r="G71" i="48"/>
  <c r="V70" i="48"/>
  <c r="M70" i="48" s="1"/>
  <c r="U70" i="48"/>
  <c r="O70" i="48"/>
  <c r="K70" i="48"/>
  <c r="G70" i="48"/>
  <c r="AF69" i="48"/>
  <c r="V69" i="48"/>
  <c r="M69" i="48" s="1"/>
  <c r="N69" i="48" s="1"/>
  <c r="U69" i="48"/>
  <c r="O69" i="48"/>
  <c r="K69" i="48"/>
  <c r="G69" i="48"/>
  <c r="AE68" i="48"/>
  <c r="V68" i="48"/>
  <c r="M68" i="48" s="1"/>
  <c r="U68" i="48"/>
  <c r="O68" i="48"/>
  <c r="K68" i="48"/>
  <c r="G68" i="48"/>
  <c r="AE67" i="48"/>
  <c r="X67" i="48"/>
  <c r="W67" i="48"/>
  <c r="V67" i="48"/>
  <c r="M67" i="48" s="1"/>
  <c r="O67" i="48"/>
  <c r="K67" i="48"/>
  <c r="G67" i="48"/>
  <c r="AD66" i="48"/>
  <c r="Z66" i="48"/>
  <c r="J19" i="47" s="1"/>
  <c r="Y66" i="48"/>
  <c r="O66" i="48"/>
  <c r="K66" i="48"/>
  <c r="AE65" i="48"/>
  <c r="V65" i="48"/>
  <c r="M65" i="48" s="1"/>
  <c r="U65" i="48"/>
  <c r="O65" i="48"/>
  <c r="K65" i="48"/>
  <c r="G65" i="48"/>
  <c r="AF64" i="48"/>
  <c r="V64" i="48"/>
  <c r="M64" i="48" s="1"/>
  <c r="U64" i="48"/>
  <c r="O64" i="48"/>
  <c r="K64" i="48"/>
  <c r="G64" i="48"/>
  <c r="AE63" i="48"/>
  <c r="V63" i="48"/>
  <c r="M63" i="48" s="1"/>
  <c r="U63" i="48"/>
  <c r="O63" i="48"/>
  <c r="K63" i="48"/>
  <c r="G63" i="48"/>
  <c r="V62" i="48"/>
  <c r="M62" i="48" s="1"/>
  <c r="U62" i="48"/>
  <c r="O62" i="48"/>
  <c r="K62" i="48"/>
  <c r="G62" i="48"/>
  <c r="V61" i="48"/>
  <c r="U61" i="48"/>
  <c r="O61" i="48"/>
  <c r="M61" i="48"/>
  <c r="K61" i="48"/>
  <c r="G61" i="48"/>
  <c r="V60" i="48"/>
  <c r="O60" i="48"/>
  <c r="M60" i="48"/>
  <c r="K60" i="48"/>
  <c r="G60" i="48"/>
  <c r="AD59" i="48"/>
  <c r="Z59" i="48"/>
  <c r="I19" i="47" s="1"/>
  <c r="Y59" i="48"/>
  <c r="I18" i="47" s="1"/>
  <c r="O59" i="48"/>
  <c r="K59" i="48"/>
  <c r="V58" i="48"/>
  <c r="U58" i="48"/>
  <c r="O58" i="48"/>
  <c r="M58" i="48"/>
  <c r="K58" i="48"/>
  <c r="G58" i="48"/>
  <c r="X57" i="48"/>
  <c r="W57" i="48"/>
  <c r="V57" i="48"/>
  <c r="U57" i="48"/>
  <c r="O57" i="48"/>
  <c r="N57" i="48"/>
  <c r="M57" i="48"/>
  <c r="AF57" i="48" s="1"/>
  <c r="K57" i="48"/>
  <c r="Q57" i="48" s="1"/>
  <c r="G57" i="48"/>
  <c r="V56" i="48"/>
  <c r="U56" i="48"/>
  <c r="P56" i="48"/>
  <c r="O56" i="48"/>
  <c r="N56" i="48"/>
  <c r="Q56" i="48" s="1"/>
  <c r="M56" i="48"/>
  <c r="K56" i="48"/>
  <c r="G56" i="48"/>
  <c r="V55" i="48"/>
  <c r="U55" i="48"/>
  <c r="O55" i="48"/>
  <c r="M55" i="48"/>
  <c r="K55" i="48"/>
  <c r="G55" i="48"/>
  <c r="AF54" i="48"/>
  <c r="V54" i="48"/>
  <c r="U54" i="48"/>
  <c r="O54" i="48"/>
  <c r="N54" i="48"/>
  <c r="M54" i="48"/>
  <c r="AE54" i="48" s="1"/>
  <c r="K54" i="48"/>
  <c r="G54" i="48"/>
  <c r="V53" i="48"/>
  <c r="U53" i="48"/>
  <c r="O53" i="48"/>
  <c r="M53" i="48"/>
  <c r="AE53" i="48" s="1"/>
  <c r="K53" i="48"/>
  <c r="G53" i="48"/>
  <c r="V52" i="48"/>
  <c r="M52" i="48" s="1"/>
  <c r="U52" i="48"/>
  <c r="O52" i="48"/>
  <c r="K52" i="48"/>
  <c r="G52" i="48"/>
  <c r="AF51" i="48"/>
  <c r="AE51" i="48"/>
  <c r="V51" i="48"/>
  <c r="M51" i="48" s="1"/>
  <c r="N51" i="48" s="1"/>
  <c r="U51" i="48"/>
  <c r="O51" i="48"/>
  <c r="K51" i="48"/>
  <c r="G51" i="48"/>
  <c r="AF50" i="48"/>
  <c r="V50" i="48"/>
  <c r="M50" i="48" s="1"/>
  <c r="N50" i="48" s="1"/>
  <c r="O50" i="48"/>
  <c r="K50" i="48"/>
  <c r="G50" i="48"/>
  <c r="AD49" i="48"/>
  <c r="H21" i="47" s="1"/>
  <c r="Z49" i="48"/>
  <c r="Y49" i="48"/>
  <c r="H18" i="47" s="1"/>
  <c r="O49" i="48"/>
  <c r="K49" i="48"/>
  <c r="V48" i="48"/>
  <c r="M48" i="48" s="1"/>
  <c r="U48" i="48"/>
  <c r="O48" i="48"/>
  <c r="K48" i="48"/>
  <c r="G48" i="48"/>
  <c r="AE47" i="48"/>
  <c r="V47" i="48"/>
  <c r="M47" i="48" s="1"/>
  <c r="U47" i="48"/>
  <c r="O47" i="48"/>
  <c r="K47" i="48"/>
  <c r="G47" i="48"/>
  <c r="V46" i="48"/>
  <c r="M46" i="48" s="1"/>
  <c r="U46" i="48"/>
  <c r="O46" i="48"/>
  <c r="N46" i="48"/>
  <c r="Q46" i="48" s="1"/>
  <c r="K46" i="48"/>
  <c r="G46" i="48"/>
  <c r="X45" i="48"/>
  <c r="W45" i="48"/>
  <c r="V45" i="48"/>
  <c r="M45" i="48" s="1"/>
  <c r="O45" i="48"/>
  <c r="K45" i="48"/>
  <c r="G45" i="48"/>
  <c r="AD44" i="48"/>
  <c r="L21" i="47" s="1"/>
  <c r="Z44" i="48"/>
  <c r="Y44" i="48"/>
  <c r="O44" i="48"/>
  <c r="K44" i="48"/>
  <c r="V43" i="48"/>
  <c r="M43" i="48" s="1"/>
  <c r="U43" i="48"/>
  <c r="Q43" i="48"/>
  <c r="P43" i="48"/>
  <c r="O43" i="48"/>
  <c r="N43" i="48"/>
  <c r="K43" i="48"/>
  <c r="G43" i="48"/>
  <c r="V42" i="48"/>
  <c r="U42" i="48"/>
  <c r="O42" i="48"/>
  <c r="M42" i="48"/>
  <c r="K42" i="48"/>
  <c r="G42" i="48"/>
  <c r="V41" i="48"/>
  <c r="U41" i="48"/>
  <c r="Q41" i="48"/>
  <c r="O41" i="48"/>
  <c r="N41" i="48"/>
  <c r="M41" i="48"/>
  <c r="AF41" i="48" s="1"/>
  <c r="K41" i="48"/>
  <c r="G41" i="48"/>
  <c r="X40" i="48"/>
  <c r="W40" i="48"/>
  <c r="V40" i="48"/>
  <c r="U40" i="48"/>
  <c r="O40" i="48"/>
  <c r="M40" i="48"/>
  <c r="K40" i="48"/>
  <c r="G40" i="48"/>
  <c r="V39" i="48"/>
  <c r="U39" i="48"/>
  <c r="O39" i="48"/>
  <c r="N39" i="48"/>
  <c r="M39" i="48"/>
  <c r="AF39" i="48" s="1"/>
  <c r="K39" i="48"/>
  <c r="Q39" i="48" s="1"/>
  <c r="G39" i="48"/>
  <c r="V38" i="48"/>
  <c r="U38" i="48"/>
  <c r="P38" i="48"/>
  <c r="O38" i="48"/>
  <c r="N38" i="48"/>
  <c r="Q38" i="48" s="1"/>
  <c r="M38" i="48"/>
  <c r="K38" i="48"/>
  <c r="G38" i="48"/>
  <c r="V37" i="48"/>
  <c r="U37" i="48"/>
  <c r="O37" i="48"/>
  <c r="M37" i="48"/>
  <c r="K37" i="48"/>
  <c r="G37" i="48"/>
  <c r="X36" i="48"/>
  <c r="W36" i="48"/>
  <c r="V36" i="48"/>
  <c r="O36" i="48"/>
  <c r="N36" i="48"/>
  <c r="M36" i="48"/>
  <c r="AF36" i="48" s="1"/>
  <c r="K36" i="48"/>
  <c r="Q36" i="48" s="1"/>
  <c r="G36" i="48"/>
  <c r="AD35" i="48"/>
  <c r="Z35" i="48"/>
  <c r="Y35" i="48"/>
  <c r="K18" i="47" s="1"/>
  <c r="O35" i="48"/>
  <c r="K35" i="48"/>
  <c r="V34" i="48"/>
  <c r="U34" i="48"/>
  <c r="O34" i="48"/>
  <c r="M34" i="48"/>
  <c r="K34" i="48"/>
  <c r="G34" i="48"/>
  <c r="AF33" i="48"/>
  <c r="V33" i="48"/>
  <c r="U33" i="48"/>
  <c r="O33" i="48"/>
  <c r="N33" i="48"/>
  <c r="M33" i="48"/>
  <c r="AE33" i="48" s="1"/>
  <c r="K33" i="48"/>
  <c r="G33" i="48"/>
  <c r="V32" i="48"/>
  <c r="U32" i="48"/>
  <c r="O32" i="48"/>
  <c r="M32" i="48"/>
  <c r="K32" i="48"/>
  <c r="G32" i="48"/>
  <c r="AF31" i="48"/>
  <c r="X31" i="48"/>
  <c r="W31" i="48"/>
  <c r="V31" i="48"/>
  <c r="U31" i="48"/>
  <c r="O31" i="48"/>
  <c r="N31" i="48"/>
  <c r="M31" i="48"/>
  <c r="AE31" i="48" s="1"/>
  <c r="K31" i="48"/>
  <c r="G31" i="48"/>
  <c r="AE30" i="48"/>
  <c r="V30" i="48"/>
  <c r="U30" i="48"/>
  <c r="O30" i="48"/>
  <c r="M30" i="48"/>
  <c r="K30" i="48"/>
  <c r="G30" i="48"/>
  <c r="V29" i="48"/>
  <c r="M29" i="48" s="1"/>
  <c r="U29" i="48"/>
  <c r="O29" i="48"/>
  <c r="K29" i="48"/>
  <c r="G29" i="48"/>
  <c r="AF28" i="48"/>
  <c r="X28" i="48"/>
  <c r="W28" i="48"/>
  <c r="V28" i="48"/>
  <c r="O28" i="48"/>
  <c r="N28" i="48"/>
  <c r="M28" i="48"/>
  <c r="M35" i="48" s="1"/>
  <c r="K28" i="48"/>
  <c r="G28" i="48"/>
  <c r="AD27" i="48"/>
  <c r="Z27" i="48"/>
  <c r="Y27" i="48"/>
  <c r="O27" i="48"/>
  <c r="K27" i="48"/>
  <c r="G13" i="47" s="1"/>
  <c r="V26" i="48"/>
  <c r="M26" i="48" s="1"/>
  <c r="U26" i="48"/>
  <c r="O26" i="48"/>
  <c r="K26" i="48"/>
  <c r="G26" i="48"/>
  <c r="AF25" i="48"/>
  <c r="V25" i="48"/>
  <c r="M25" i="48" s="1"/>
  <c r="N25" i="48" s="1"/>
  <c r="U25" i="48"/>
  <c r="O25" i="48"/>
  <c r="K25" i="48"/>
  <c r="G25" i="48"/>
  <c r="V24" i="48"/>
  <c r="M24" i="48" s="1"/>
  <c r="U24" i="48"/>
  <c r="O24" i="48"/>
  <c r="K24" i="48"/>
  <c r="G24" i="48"/>
  <c r="AF23" i="48"/>
  <c r="V23" i="48"/>
  <c r="M23" i="48" s="1"/>
  <c r="U23" i="48"/>
  <c r="O23" i="48"/>
  <c r="K23" i="48"/>
  <c r="G23" i="48"/>
  <c r="AE22" i="48"/>
  <c r="V22" i="48"/>
  <c r="M22" i="48" s="1"/>
  <c r="U22" i="48"/>
  <c r="O22" i="48"/>
  <c r="K22" i="48"/>
  <c r="G22" i="48"/>
  <c r="V21" i="48"/>
  <c r="M21" i="48" s="1"/>
  <c r="O21" i="48"/>
  <c r="K21" i="48"/>
  <c r="G21" i="48"/>
  <c r="AD20" i="48"/>
  <c r="Z20" i="48"/>
  <c r="Y20" i="48"/>
  <c r="F18" i="47" s="1"/>
  <c r="O20" i="48"/>
  <c r="K20" i="48"/>
  <c r="V19" i="48"/>
  <c r="U19" i="48"/>
  <c r="O19" i="48"/>
  <c r="M19" i="48"/>
  <c r="K19" i="48"/>
  <c r="G19" i="48"/>
  <c r="V18" i="48"/>
  <c r="U18" i="48"/>
  <c r="Q18" i="48"/>
  <c r="O18" i="48"/>
  <c r="N18" i="48"/>
  <c r="P18" i="48" s="1"/>
  <c r="M18" i="48"/>
  <c r="AF18" i="48" s="1"/>
  <c r="K18" i="48"/>
  <c r="G18" i="48"/>
  <c r="V17" i="48"/>
  <c r="U17" i="48"/>
  <c r="O17" i="48"/>
  <c r="M17" i="48"/>
  <c r="K17" i="48"/>
  <c r="G17" i="48"/>
  <c r="V16" i="48"/>
  <c r="O16" i="48"/>
  <c r="M16" i="48"/>
  <c r="K16" i="48"/>
  <c r="G16" i="48"/>
  <c r="AD15" i="48"/>
  <c r="Z15" i="48"/>
  <c r="Y15" i="48"/>
  <c r="O15" i="48"/>
  <c r="K15" i="48"/>
  <c r="AF14" i="48"/>
  <c r="V14" i="48"/>
  <c r="U14" i="48"/>
  <c r="O14" i="48"/>
  <c r="N14" i="48"/>
  <c r="M14" i="48"/>
  <c r="AE14" i="48" s="1"/>
  <c r="K14" i="48"/>
  <c r="G14" i="48"/>
  <c r="V13" i="48"/>
  <c r="U13" i="48"/>
  <c r="O13" i="48"/>
  <c r="M13" i="48"/>
  <c r="K13" i="48"/>
  <c r="G13" i="48"/>
  <c r="AF12" i="48"/>
  <c r="V12" i="48"/>
  <c r="M12" i="48" s="1"/>
  <c r="U12" i="48"/>
  <c r="O12" i="48"/>
  <c r="K12" i="48"/>
  <c r="G12" i="48"/>
  <c r="X11" i="48"/>
  <c r="W11" i="48"/>
  <c r="V11" i="48"/>
  <c r="U11" i="48"/>
  <c r="O11" i="48"/>
  <c r="M11" i="48"/>
  <c r="N11" i="48" s="1"/>
  <c r="K11" i="48"/>
  <c r="G11" i="48"/>
  <c r="AF10" i="48"/>
  <c r="V10" i="48"/>
  <c r="M10" i="48" s="1"/>
  <c r="U10" i="48"/>
  <c r="O10" i="48"/>
  <c r="K10" i="48"/>
  <c r="G10" i="48"/>
  <c r="AF9" i="48"/>
  <c r="X9" i="48"/>
  <c r="W9" i="48"/>
  <c r="V9" i="48"/>
  <c r="O9" i="48"/>
  <c r="N9" i="48"/>
  <c r="M9" i="48"/>
  <c r="AE9" i="48" s="1"/>
  <c r="K9" i="48"/>
  <c r="G9" i="48"/>
  <c r="AD8" i="48"/>
  <c r="Z8" i="48"/>
  <c r="Y8" i="48"/>
  <c r="O8" i="48"/>
  <c r="K8" i="48"/>
  <c r="D13" i="47" s="1"/>
  <c r="AF7" i="48"/>
  <c r="V7" i="48"/>
  <c r="M7" i="48" s="1"/>
  <c r="U7" i="48"/>
  <c r="O7" i="48"/>
  <c r="K7" i="48"/>
  <c r="G7" i="48"/>
  <c r="V6" i="48"/>
  <c r="M6" i="48" s="1"/>
  <c r="N6" i="48" s="1"/>
  <c r="U6" i="48"/>
  <c r="O6" i="48"/>
  <c r="K6" i="48"/>
  <c r="G6" i="48"/>
  <c r="AF5" i="48"/>
  <c r="V5" i="48"/>
  <c r="M5" i="48" s="1"/>
  <c r="O5" i="48"/>
  <c r="K5" i="48"/>
  <c r="G5" i="48"/>
  <c r="Z2" i="48"/>
  <c r="L6" i="47" s="1"/>
  <c r="Y2" i="48"/>
  <c r="H2" i="48"/>
  <c r="H1" i="48"/>
  <c r="D1" i="48"/>
  <c r="M22" i="47"/>
  <c r="L22" i="47"/>
  <c r="K22" i="47"/>
  <c r="J22" i="47"/>
  <c r="I22" i="47"/>
  <c r="H22" i="47"/>
  <c r="G22" i="47"/>
  <c r="F22" i="47"/>
  <c r="E22" i="47"/>
  <c r="D22" i="47"/>
  <c r="M21" i="47"/>
  <c r="K21" i="47"/>
  <c r="J21" i="47"/>
  <c r="I21" i="47"/>
  <c r="G21" i="47"/>
  <c r="E21" i="47"/>
  <c r="D21" i="47"/>
  <c r="M20" i="47"/>
  <c r="L20" i="47"/>
  <c r="K20" i="47"/>
  <c r="J20" i="47"/>
  <c r="I20" i="47"/>
  <c r="H20" i="47"/>
  <c r="G20" i="47"/>
  <c r="F20" i="47"/>
  <c r="E20" i="47"/>
  <c r="D20" i="47"/>
  <c r="M19" i="47"/>
  <c r="L19" i="47"/>
  <c r="K19" i="47"/>
  <c r="H19" i="47"/>
  <c r="G19" i="47"/>
  <c r="F19" i="47"/>
  <c r="E19" i="47"/>
  <c r="D19" i="47"/>
  <c r="M18" i="47"/>
  <c r="L18" i="47"/>
  <c r="J18" i="47"/>
  <c r="G18" i="47"/>
  <c r="E18" i="47"/>
  <c r="D18" i="47"/>
  <c r="M17" i="47"/>
  <c r="L17" i="47"/>
  <c r="K17" i="47"/>
  <c r="J17" i="47"/>
  <c r="I17" i="47"/>
  <c r="H17" i="47"/>
  <c r="G17" i="47"/>
  <c r="F17" i="47"/>
  <c r="E17" i="47"/>
  <c r="D17" i="47"/>
  <c r="M16" i="47"/>
  <c r="L16" i="47"/>
  <c r="K16" i="47"/>
  <c r="J16" i="47"/>
  <c r="I16" i="47"/>
  <c r="H16" i="47"/>
  <c r="G16" i="47"/>
  <c r="F16" i="47"/>
  <c r="E16" i="47"/>
  <c r="D16" i="47"/>
  <c r="M13" i="47"/>
  <c r="L13" i="47"/>
  <c r="K13" i="47"/>
  <c r="I6" i="47" s="1"/>
  <c r="J13" i="47"/>
  <c r="I13" i="47"/>
  <c r="H13" i="47"/>
  <c r="F13" i="47"/>
  <c r="E13" i="47"/>
  <c r="M6" i="47"/>
  <c r="K6" i="47"/>
  <c r="F3" i="47"/>
  <c r="C3" i="47"/>
  <c r="G8" i="53" l="1"/>
  <c r="F8" i="53"/>
  <c r="E8" i="53"/>
  <c r="K15" i="51"/>
  <c r="I8" i="51" s="1"/>
  <c r="I7" i="51"/>
  <c r="D15" i="51"/>
  <c r="G7" i="51"/>
  <c r="F7" i="51"/>
  <c r="E7" i="51"/>
  <c r="Q21" i="50"/>
  <c r="P21" i="50"/>
  <c r="Q42" i="50"/>
  <c r="P42" i="50"/>
  <c r="P7" i="50"/>
  <c r="Q7" i="50"/>
  <c r="Q34" i="50"/>
  <c r="P34" i="50"/>
  <c r="Q12" i="50"/>
  <c r="P12" i="50"/>
  <c r="AE8" i="50"/>
  <c r="N8" i="50"/>
  <c r="AF8" i="50"/>
  <c r="AG5" i="50" s="1"/>
  <c r="Q16" i="50"/>
  <c r="P16" i="50"/>
  <c r="Q47" i="50"/>
  <c r="P47" i="50"/>
  <c r="Q43" i="50"/>
  <c r="P43" i="50"/>
  <c r="Q49" i="50"/>
  <c r="P49" i="50"/>
  <c r="Q54" i="50"/>
  <c r="P54" i="50"/>
  <c r="Q5" i="50"/>
  <c r="P5" i="50"/>
  <c r="P33" i="50"/>
  <c r="Q33" i="50"/>
  <c r="Q32" i="50"/>
  <c r="P32" i="50"/>
  <c r="AE50" i="50"/>
  <c r="N50" i="50"/>
  <c r="AF50" i="50"/>
  <c r="AG46" i="50" s="1"/>
  <c r="AF73" i="50"/>
  <c r="AG65" i="50" s="1"/>
  <c r="AE73" i="50"/>
  <c r="N73" i="50"/>
  <c r="Q30" i="50"/>
  <c r="P30" i="50"/>
  <c r="Q10" i="50"/>
  <c r="P10" i="50"/>
  <c r="Q19" i="50"/>
  <c r="P19" i="50"/>
  <c r="Q41" i="50"/>
  <c r="P41" i="50"/>
  <c r="Q40" i="50"/>
  <c r="P40" i="50"/>
  <c r="P39" i="50"/>
  <c r="Q39" i="50"/>
  <c r="Q6" i="50"/>
  <c r="P6" i="50"/>
  <c r="P13" i="50"/>
  <c r="Q13" i="50"/>
  <c r="AE20" i="50"/>
  <c r="N20" i="50"/>
  <c r="AF20" i="50"/>
  <c r="AG15" i="50" s="1"/>
  <c r="Q24" i="50"/>
  <c r="P24" i="50"/>
  <c r="Q66" i="50"/>
  <c r="P66" i="50"/>
  <c r="Q62" i="50"/>
  <c r="P62" i="50"/>
  <c r="Q63" i="50"/>
  <c r="P63" i="50"/>
  <c r="N27" i="50"/>
  <c r="AF27" i="50"/>
  <c r="AG21" i="50" s="1"/>
  <c r="AE27" i="50"/>
  <c r="Q72" i="50"/>
  <c r="P72" i="50"/>
  <c r="AE36" i="50"/>
  <c r="N36" i="50"/>
  <c r="AF36" i="50"/>
  <c r="AG28" i="50" s="1"/>
  <c r="Q15" i="50"/>
  <c r="P15" i="50"/>
  <c r="Q67" i="50"/>
  <c r="P67" i="50"/>
  <c r="P29" i="50"/>
  <c r="Q29" i="50"/>
  <c r="P31" i="50"/>
  <c r="Q31" i="50"/>
  <c r="AF45" i="50"/>
  <c r="AG37" i="50" s="1"/>
  <c r="N45" i="50"/>
  <c r="AE45" i="50"/>
  <c r="N14" i="50"/>
  <c r="AE14" i="50"/>
  <c r="AF14" i="50"/>
  <c r="AG9" i="50" s="1"/>
  <c r="Q56" i="50"/>
  <c r="P56" i="50"/>
  <c r="N58" i="50"/>
  <c r="AF58" i="50"/>
  <c r="AG51" i="50" s="1"/>
  <c r="AE58" i="50"/>
  <c r="Q52" i="50"/>
  <c r="P52" i="50"/>
  <c r="P11" i="50"/>
  <c r="Q11" i="50"/>
  <c r="Q26" i="50"/>
  <c r="P26" i="50"/>
  <c r="Q37" i="50"/>
  <c r="P37" i="50"/>
  <c r="AE64" i="50"/>
  <c r="N64" i="50"/>
  <c r="AF64" i="50"/>
  <c r="AG59" i="50" s="1"/>
  <c r="Q9" i="50"/>
  <c r="P9" i="50"/>
  <c r="Q60" i="50"/>
  <c r="P60" i="50"/>
  <c r="Q38" i="50"/>
  <c r="P38" i="50"/>
  <c r="Q51" i="50"/>
  <c r="P51" i="50"/>
  <c r="P28" i="50"/>
  <c r="Q28" i="50"/>
  <c r="P61" i="50"/>
  <c r="Q61" i="50"/>
  <c r="Q71" i="50"/>
  <c r="P71" i="50"/>
  <c r="Q22" i="50"/>
  <c r="P22" i="50"/>
  <c r="P35" i="50"/>
  <c r="Q35" i="50"/>
  <c r="P57" i="50"/>
  <c r="Q57" i="50"/>
  <c r="Q59" i="50"/>
  <c r="P59" i="50"/>
  <c r="P25" i="50"/>
  <c r="Q25" i="50"/>
  <c r="G6" i="47"/>
  <c r="F6" i="47"/>
  <c r="E6" i="47"/>
  <c r="Q11" i="48"/>
  <c r="P11" i="48"/>
  <c r="N12" i="48"/>
  <c r="AE12" i="48"/>
  <c r="Q14" i="48"/>
  <c r="P14" i="48"/>
  <c r="AD2" i="48"/>
  <c r="N6" i="47" s="1"/>
  <c r="N32" i="48"/>
  <c r="AF32" i="48"/>
  <c r="AF40" i="48"/>
  <c r="AE40" i="48"/>
  <c r="N40" i="48"/>
  <c r="Q51" i="48"/>
  <c r="P51" i="48"/>
  <c r="AF61" i="48"/>
  <c r="AE61" i="48"/>
  <c r="N61" i="48"/>
  <c r="AF62" i="48"/>
  <c r="AE62" i="48"/>
  <c r="Q69" i="48"/>
  <c r="P69" i="48"/>
  <c r="N22" i="48"/>
  <c r="AF22" i="48"/>
  <c r="P46" i="48"/>
  <c r="N64" i="48"/>
  <c r="AE64" i="48"/>
  <c r="AE69" i="48"/>
  <c r="AF17" i="48"/>
  <c r="AE17" i="48"/>
  <c r="AF19" i="48"/>
  <c r="AE19" i="48"/>
  <c r="N19" i="48"/>
  <c r="AF58" i="48"/>
  <c r="AE58" i="48"/>
  <c r="F1" i="48"/>
  <c r="AE6" i="48"/>
  <c r="M20" i="48"/>
  <c r="AF16" i="48"/>
  <c r="AE16" i="48"/>
  <c r="N24" i="48"/>
  <c r="AF24" i="48"/>
  <c r="N29" i="48"/>
  <c r="AE29" i="48"/>
  <c r="Q31" i="48"/>
  <c r="P31" i="48"/>
  <c r="AF34" i="48"/>
  <c r="AE34" i="48"/>
  <c r="N34" i="48"/>
  <c r="N58" i="48"/>
  <c r="N73" i="48"/>
  <c r="AF73" i="48"/>
  <c r="AF6" i="48"/>
  <c r="N13" i="48"/>
  <c r="AF13" i="48"/>
  <c r="N16" i="48"/>
  <c r="AE24" i="48"/>
  <c r="N26" i="48"/>
  <c r="AE26" i="48"/>
  <c r="Q28" i="48"/>
  <c r="P28" i="48"/>
  <c r="AF29" i="48"/>
  <c r="AE32" i="48"/>
  <c r="AF46" i="48"/>
  <c r="AE46" i="48"/>
  <c r="Q6" i="48"/>
  <c r="P6" i="48"/>
  <c r="AF37" i="48"/>
  <c r="AE37" i="48"/>
  <c r="N37" i="48"/>
  <c r="AF55" i="48"/>
  <c r="AE55" i="48"/>
  <c r="N55" i="48"/>
  <c r="AF35" i="48"/>
  <c r="AG28" i="48" s="1"/>
  <c r="AE35" i="48"/>
  <c r="F21" i="47"/>
  <c r="AF26" i="48"/>
  <c r="P36" i="48"/>
  <c r="P39" i="48"/>
  <c r="AF42" i="48"/>
  <c r="AE42" i="48"/>
  <c r="N42" i="48"/>
  <c r="AF43" i="48"/>
  <c r="AE43" i="48"/>
  <c r="N48" i="48"/>
  <c r="AE48" i="48"/>
  <c r="Q50" i="48"/>
  <c r="P50" i="48"/>
  <c r="P57" i="48"/>
  <c r="AF60" i="48"/>
  <c r="AE60" i="48"/>
  <c r="M66" i="48"/>
  <c r="N60" i="48"/>
  <c r="AE71" i="48"/>
  <c r="M75" i="48"/>
  <c r="N53" i="48"/>
  <c r="AF53" i="48"/>
  <c r="Q71" i="48"/>
  <c r="P71" i="48"/>
  <c r="N72" i="48"/>
  <c r="AE72" i="48"/>
  <c r="Q74" i="48"/>
  <c r="P74" i="48"/>
  <c r="AE11" i="48"/>
  <c r="M15" i="48"/>
  <c r="N21" i="48"/>
  <c r="AF21" i="48"/>
  <c r="M27" i="48"/>
  <c r="N45" i="48"/>
  <c r="M49" i="48"/>
  <c r="AF45" i="48"/>
  <c r="AE45" i="48"/>
  <c r="AF48" i="48"/>
  <c r="AE50" i="48"/>
  <c r="N63" i="48"/>
  <c r="AF63" i="48"/>
  <c r="N68" i="48"/>
  <c r="AF68" i="48"/>
  <c r="AF71" i="48"/>
  <c r="N5" i="48"/>
  <c r="M8" i="48"/>
  <c r="AF11" i="48"/>
  <c r="AE21" i="48"/>
  <c r="N30" i="48"/>
  <c r="AF30" i="48"/>
  <c r="N52" i="48"/>
  <c r="AE52" i="48"/>
  <c r="Q54" i="48"/>
  <c r="P54" i="48"/>
  <c r="N62" i="48"/>
  <c r="N70" i="48"/>
  <c r="AE70" i="48"/>
  <c r="AE73" i="48"/>
  <c r="N17" i="48"/>
  <c r="AE5" i="48"/>
  <c r="N10" i="48"/>
  <c r="AE10" i="48"/>
  <c r="AE13" i="48"/>
  <c r="N23" i="48"/>
  <c r="AE23" i="48"/>
  <c r="Q33" i="48"/>
  <c r="P33" i="48"/>
  <c r="N35" i="48"/>
  <c r="AF38" i="48"/>
  <c r="AE38" i="48"/>
  <c r="AF52" i="48"/>
  <c r="AF56" i="48"/>
  <c r="AE56" i="48"/>
  <c r="N65" i="48"/>
  <c r="AF65" i="48"/>
  <c r="N67" i="48"/>
  <c r="AF67" i="48"/>
  <c r="AF70" i="48"/>
  <c r="N7" i="48"/>
  <c r="AE7" i="48"/>
  <c r="Q9" i="48"/>
  <c r="P9" i="48"/>
  <c r="Q25" i="48"/>
  <c r="P25" i="48"/>
  <c r="M59" i="48"/>
  <c r="AE25" i="48"/>
  <c r="P41" i="48"/>
  <c r="N47" i="48"/>
  <c r="AF47" i="48"/>
  <c r="AE28" i="48"/>
  <c r="AE18" i="48"/>
  <c r="AE39" i="48"/>
  <c r="AE41" i="48"/>
  <c r="M44" i="48"/>
  <c r="AE36" i="48"/>
  <c r="AE57" i="48"/>
  <c r="AD71" i="46"/>
  <c r="M21" i="45" s="1"/>
  <c r="Z71" i="46"/>
  <c r="Y71" i="46"/>
  <c r="O71" i="46"/>
  <c r="K71" i="46"/>
  <c r="AF70" i="46"/>
  <c r="V70" i="46"/>
  <c r="U70" i="46"/>
  <c r="O70" i="46"/>
  <c r="N70" i="46"/>
  <c r="Q70" i="46" s="1"/>
  <c r="M70" i="46"/>
  <c r="AE70" i="46" s="1"/>
  <c r="K70" i="46"/>
  <c r="G70" i="46"/>
  <c r="AF69" i="46"/>
  <c r="AE69" i="46"/>
  <c r="V69" i="46"/>
  <c r="U69" i="46"/>
  <c r="O69" i="46"/>
  <c r="M69" i="46"/>
  <c r="N69" i="46" s="1"/>
  <c r="K69" i="46"/>
  <c r="G69" i="46"/>
  <c r="V68" i="46"/>
  <c r="M68" i="46" s="1"/>
  <c r="U68" i="46"/>
  <c r="O68" i="46"/>
  <c r="K68" i="46"/>
  <c r="G68" i="46"/>
  <c r="AE67" i="46"/>
  <c r="X67" i="46"/>
  <c r="W67" i="46"/>
  <c r="V67" i="46"/>
  <c r="U67" i="46"/>
  <c r="O67" i="46"/>
  <c r="M67" i="46"/>
  <c r="N67" i="46" s="1"/>
  <c r="K67" i="46"/>
  <c r="G67" i="46"/>
  <c r="V66" i="46"/>
  <c r="M66" i="46" s="1"/>
  <c r="U66" i="46"/>
  <c r="O66" i="46"/>
  <c r="K66" i="46"/>
  <c r="G66" i="46"/>
  <c r="V65" i="46"/>
  <c r="M65" i="46" s="1"/>
  <c r="U65" i="46"/>
  <c r="O65" i="46"/>
  <c r="K65" i="46"/>
  <c r="G65" i="46"/>
  <c r="V64" i="46"/>
  <c r="M64" i="46" s="1"/>
  <c r="U64" i="46"/>
  <c r="O64" i="46"/>
  <c r="K64" i="46"/>
  <c r="G64" i="46"/>
  <c r="X63" i="46"/>
  <c r="W63" i="46"/>
  <c r="V63" i="46"/>
  <c r="M63" i="46" s="1"/>
  <c r="O63" i="46"/>
  <c r="K63" i="46"/>
  <c r="G63" i="46"/>
  <c r="AD62" i="46"/>
  <c r="J21" i="45" s="1"/>
  <c r="Z62" i="46"/>
  <c r="J19" i="45" s="1"/>
  <c r="Y62" i="46"/>
  <c r="O62" i="46"/>
  <c r="K62" i="46"/>
  <c r="V61" i="46"/>
  <c r="M61" i="46" s="1"/>
  <c r="U61" i="46"/>
  <c r="O61" i="46"/>
  <c r="K61" i="46"/>
  <c r="G61" i="46"/>
  <c r="V60" i="46"/>
  <c r="M60" i="46" s="1"/>
  <c r="U60" i="46"/>
  <c r="O60" i="46"/>
  <c r="K60" i="46"/>
  <c r="G60" i="46"/>
  <c r="V59" i="46"/>
  <c r="M59" i="46" s="1"/>
  <c r="U59" i="46"/>
  <c r="O59" i="46"/>
  <c r="K59" i="46"/>
  <c r="G59" i="46"/>
  <c r="V58" i="46"/>
  <c r="M58" i="46" s="1"/>
  <c r="U58" i="46"/>
  <c r="O58" i="46"/>
  <c r="K58" i="46"/>
  <c r="G58" i="46"/>
  <c r="V57" i="46"/>
  <c r="U57" i="46"/>
  <c r="O57" i="46"/>
  <c r="M57" i="46"/>
  <c r="AF57" i="46" s="1"/>
  <c r="K57" i="46"/>
  <c r="G57" i="46"/>
  <c r="V56" i="46"/>
  <c r="O56" i="46"/>
  <c r="M56" i="46"/>
  <c r="AF56" i="46" s="1"/>
  <c r="K56" i="46"/>
  <c r="G56" i="46"/>
  <c r="AD55" i="46"/>
  <c r="Z55" i="46"/>
  <c r="Y55" i="46"/>
  <c r="I18" i="45" s="1"/>
  <c r="O55" i="46"/>
  <c r="K55" i="46"/>
  <c r="V54" i="46"/>
  <c r="U54" i="46"/>
  <c r="O54" i="46"/>
  <c r="M54" i="46"/>
  <c r="AF54" i="46" s="1"/>
  <c r="K54" i="46"/>
  <c r="G54" i="46"/>
  <c r="X53" i="46"/>
  <c r="W53" i="46"/>
  <c r="V53" i="46"/>
  <c r="U53" i="46"/>
  <c r="O53" i="46"/>
  <c r="M53" i="46"/>
  <c r="AF53" i="46" s="1"/>
  <c r="K53" i="46"/>
  <c r="G53" i="46"/>
  <c r="V52" i="46"/>
  <c r="U52" i="46"/>
  <c r="O52" i="46"/>
  <c r="M52" i="46"/>
  <c r="AF52" i="46" s="1"/>
  <c r="K52" i="46"/>
  <c r="G52" i="46"/>
  <c r="V51" i="46"/>
  <c r="U51" i="46"/>
  <c r="O51" i="46"/>
  <c r="M51" i="46"/>
  <c r="AF51" i="46" s="1"/>
  <c r="K51" i="46"/>
  <c r="G51" i="46"/>
  <c r="AF50" i="46"/>
  <c r="V50" i="46"/>
  <c r="U50" i="46"/>
  <c r="O50" i="46"/>
  <c r="N50" i="46"/>
  <c r="Q50" i="46" s="1"/>
  <c r="M50" i="46"/>
  <c r="AE50" i="46" s="1"/>
  <c r="K50" i="46"/>
  <c r="G50" i="46"/>
  <c r="AF49" i="46"/>
  <c r="AE49" i="46"/>
  <c r="V49" i="46"/>
  <c r="U49" i="46"/>
  <c r="O49" i="46"/>
  <c r="M49" i="46"/>
  <c r="N49" i="46" s="1"/>
  <c r="K49" i="46"/>
  <c r="G49" i="46"/>
  <c r="V48" i="46"/>
  <c r="M48" i="46" s="1"/>
  <c r="U48" i="46"/>
  <c r="O48" i="46"/>
  <c r="K48" i="46"/>
  <c r="G48" i="46"/>
  <c r="V47" i="46"/>
  <c r="M47" i="46" s="1"/>
  <c r="U47" i="46"/>
  <c r="O47" i="46"/>
  <c r="K47" i="46"/>
  <c r="G47" i="46"/>
  <c r="V46" i="46"/>
  <c r="M46" i="46" s="1"/>
  <c r="O46" i="46"/>
  <c r="K46" i="46"/>
  <c r="G46" i="46"/>
  <c r="AD45" i="46"/>
  <c r="Z45" i="46"/>
  <c r="H19" i="45" s="1"/>
  <c r="Y45" i="46"/>
  <c r="H18" i="45" s="1"/>
  <c r="O45" i="46"/>
  <c r="K45" i="46"/>
  <c r="V44" i="46"/>
  <c r="M44" i="46" s="1"/>
  <c r="U44" i="46"/>
  <c r="O44" i="46"/>
  <c r="K44" i="46"/>
  <c r="G44" i="46"/>
  <c r="V43" i="46"/>
  <c r="M43" i="46" s="1"/>
  <c r="U43" i="46"/>
  <c r="O43" i="46"/>
  <c r="K43" i="46"/>
  <c r="G43" i="46"/>
  <c r="V42" i="46"/>
  <c r="M42" i="46" s="1"/>
  <c r="U42" i="46"/>
  <c r="O42" i="46"/>
  <c r="K42" i="46"/>
  <c r="G42" i="46"/>
  <c r="X41" i="46"/>
  <c r="W41" i="46"/>
  <c r="V41" i="46"/>
  <c r="M41" i="46" s="1"/>
  <c r="O41" i="46"/>
  <c r="K41" i="46"/>
  <c r="G41" i="46"/>
  <c r="AD40" i="46"/>
  <c r="L21" i="45" s="1"/>
  <c r="Z40" i="46"/>
  <c r="L19" i="45" s="1"/>
  <c r="Y40" i="46"/>
  <c r="O40" i="46"/>
  <c r="K40" i="46"/>
  <c r="V39" i="46"/>
  <c r="M39" i="46" s="1"/>
  <c r="U39" i="46"/>
  <c r="O39" i="46"/>
  <c r="K39" i="46"/>
  <c r="G39" i="46"/>
  <c r="V38" i="46"/>
  <c r="U38" i="46"/>
  <c r="O38" i="46"/>
  <c r="M38" i="46"/>
  <c r="AF38" i="46" s="1"/>
  <c r="K38" i="46"/>
  <c r="G38" i="46"/>
  <c r="V37" i="46"/>
  <c r="U37" i="46"/>
  <c r="O37" i="46"/>
  <c r="M37" i="46"/>
  <c r="AF37" i="46" s="1"/>
  <c r="K37" i="46"/>
  <c r="G37" i="46"/>
  <c r="X36" i="46"/>
  <c r="W36" i="46"/>
  <c r="V36" i="46"/>
  <c r="U36" i="46"/>
  <c r="O36" i="46"/>
  <c r="M36" i="46"/>
  <c r="AF36" i="46" s="1"/>
  <c r="K36" i="46"/>
  <c r="G36" i="46"/>
  <c r="V35" i="46"/>
  <c r="U35" i="46"/>
  <c r="O35" i="46"/>
  <c r="M35" i="46"/>
  <c r="AF35" i="46" s="1"/>
  <c r="K35" i="46"/>
  <c r="G35" i="46"/>
  <c r="V34" i="46"/>
  <c r="U34" i="46"/>
  <c r="O34" i="46"/>
  <c r="M34" i="46"/>
  <c r="AF34" i="46" s="1"/>
  <c r="K34" i="46"/>
  <c r="G34" i="46"/>
  <c r="V33" i="46"/>
  <c r="U33" i="46"/>
  <c r="O33" i="46"/>
  <c r="M33" i="46"/>
  <c r="AF33" i="46" s="1"/>
  <c r="K33" i="46"/>
  <c r="G33" i="46"/>
  <c r="X32" i="46"/>
  <c r="W32" i="46"/>
  <c r="V32" i="46"/>
  <c r="O32" i="46"/>
  <c r="M32" i="46"/>
  <c r="AF32" i="46" s="1"/>
  <c r="K32" i="46"/>
  <c r="G32" i="46"/>
  <c r="AD31" i="46"/>
  <c r="Z31" i="46"/>
  <c r="Y31" i="46"/>
  <c r="O31" i="46"/>
  <c r="K31" i="46"/>
  <c r="V30" i="46"/>
  <c r="U30" i="46"/>
  <c r="O30" i="46"/>
  <c r="M30" i="46"/>
  <c r="AF30" i="46" s="1"/>
  <c r="K30" i="46"/>
  <c r="G30" i="46"/>
  <c r="AF29" i="46"/>
  <c r="V29" i="46"/>
  <c r="U29" i="46"/>
  <c r="O29" i="46"/>
  <c r="N29" i="46"/>
  <c r="Q29" i="46" s="1"/>
  <c r="M29" i="46"/>
  <c r="AE29" i="46" s="1"/>
  <c r="K29" i="46"/>
  <c r="G29" i="46"/>
  <c r="AF28" i="46"/>
  <c r="AE28" i="46"/>
  <c r="V28" i="46"/>
  <c r="U28" i="46"/>
  <c r="O28" i="46"/>
  <c r="M28" i="46"/>
  <c r="N28" i="46" s="1"/>
  <c r="K28" i="46"/>
  <c r="G28" i="46"/>
  <c r="AF27" i="46"/>
  <c r="AE27" i="46"/>
  <c r="X27" i="46"/>
  <c r="W27" i="46"/>
  <c r="V27" i="46"/>
  <c r="U27" i="46"/>
  <c r="O27" i="46"/>
  <c r="N27" i="46"/>
  <c r="Q27" i="46" s="1"/>
  <c r="M27" i="46"/>
  <c r="K27" i="46"/>
  <c r="G27" i="46"/>
  <c r="AF26" i="46"/>
  <c r="AE26" i="46"/>
  <c r="V26" i="46"/>
  <c r="U26" i="46"/>
  <c r="O26" i="46"/>
  <c r="M26" i="46"/>
  <c r="N26" i="46" s="1"/>
  <c r="K26" i="46"/>
  <c r="G26" i="46"/>
  <c r="V25" i="46"/>
  <c r="M25" i="46" s="1"/>
  <c r="U25" i="46"/>
  <c r="O25" i="46"/>
  <c r="K25" i="46"/>
  <c r="G25" i="46"/>
  <c r="AF24" i="46"/>
  <c r="AE24" i="46"/>
  <c r="X24" i="46"/>
  <c r="W24" i="46"/>
  <c r="V24" i="46"/>
  <c r="O24" i="46"/>
  <c r="N24" i="46"/>
  <c r="Q24" i="46" s="1"/>
  <c r="M24" i="46"/>
  <c r="K24" i="46"/>
  <c r="G24" i="46"/>
  <c r="AD23" i="46"/>
  <c r="Z23" i="46"/>
  <c r="Y23" i="46"/>
  <c r="G18" i="45" s="1"/>
  <c r="O23" i="46"/>
  <c r="K23" i="46"/>
  <c r="V22" i="46"/>
  <c r="M22" i="46" s="1"/>
  <c r="U22" i="46"/>
  <c r="O22" i="46"/>
  <c r="K22" i="46"/>
  <c r="G22" i="46"/>
  <c r="V21" i="46"/>
  <c r="M21" i="46" s="1"/>
  <c r="U21" i="46"/>
  <c r="O21" i="46"/>
  <c r="K21" i="46"/>
  <c r="G21" i="46"/>
  <c r="V20" i="46"/>
  <c r="M20" i="46" s="1"/>
  <c r="U20" i="46"/>
  <c r="O20" i="46"/>
  <c r="K20" i="46"/>
  <c r="G20" i="46"/>
  <c r="V19" i="46"/>
  <c r="M19" i="46" s="1"/>
  <c r="U19" i="46"/>
  <c r="O19" i="46"/>
  <c r="K19" i="46"/>
  <c r="G19" i="46"/>
  <c r="V18" i="46"/>
  <c r="M18" i="46" s="1"/>
  <c r="U18" i="46"/>
  <c r="O18" i="46"/>
  <c r="K18" i="46"/>
  <c r="G18" i="46"/>
  <c r="V17" i="46"/>
  <c r="M17" i="46" s="1"/>
  <c r="O17" i="46"/>
  <c r="K17" i="46"/>
  <c r="G17" i="46"/>
  <c r="AD16" i="46"/>
  <c r="Z16" i="46"/>
  <c r="Y16" i="46"/>
  <c r="F18" i="45" s="1"/>
  <c r="O16" i="46"/>
  <c r="K16" i="46"/>
  <c r="V15" i="46"/>
  <c r="U15" i="46"/>
  <c r="O15" i="46"/>
  <c r="M15" i="46"/>
  <c r="AF15" i="46" s="1"/>
  <c r="K15" i="46"/>
  <c r="G15" i="46"/>
  <c r="V14" i="46"/>
  <c r="U14" i="46"/>
  <c r="O14" i="46"/>
  <c r="M14" i="46"/>
  <c r="AF14" i="46" s="1"/>
  <c r="K14" i="46"/>
  <c r="G14" i="46"/>
  <c r="V13" i="46"/>
  <c r="O13" i="46"/>
  <c r="M13" i="46"/>
  <c r="M16" i="46" s="1"/>
  <c r="K13" i="46"/>
  <c r="G13" i="46"/>
  <c r="AD12" i="46"/>
  <c r="E21" i="45" s="1"/>
  <c r="Z12" i="46"/>
  <c r="Y12" i="46"/>
  <c r="O12" i="46"/>
  <c r="M12" i="46"/>
  <c r="AF12" i="46" s="1"/>
  <c r="AG9" i="46" s="1"/>
  <c r="K12" i="46"/>
  <c r="E13" i="45" s="1"/>
  <c r="V11" i="46"/>
  <c r="U11" i="46"/>
  <c r="O11" i="46"/>
  <c r="M11" i="46"/>
  <c r="AF11" i="46" s="1"/>
  <c r="K11" i="46"/>
  <c r="G11" i="46"/>
  <c r="AF10" i="46"/>
  <c r="X10" i="46"/>
  <c r="W10" i="46"/>
  <c r="V10" i="46"/>
  <c r="U10" i="46"/>
  <c r="O10" i="46"/>
  <c r="M10" i="46"/>
  <c r="AE10" i="46" s="1"/>
  <c r="K10" i="46"/>
  <c r="G10" i="46"/>
  <c r="V9" i="46"/>
  <c r="O9" i="46"/>
  <c r="M9" i="46"/>
  <c r="AF9" i="46" s="1"/>
  <c r="K9" i="46"/>
  <c r="G9" i="46"/>
  <c r="AD8" i="46"/>
  <c r="D21" i="45" s="1"/>
  <c r="Z8" i="46"/>
  <c r="Y8" i="46"/>
  <c r="O8" i="46"/>
  <c r="M8" i="46"/>
  <c r="AF8" i="46" s="1"/>
  <c r="AG5" i="46" s="1"/>
  <c r="K8" i="46"/>
  <c r="D13" i="45" s="1"/>
  <c r="AF7" i="46"/>
  <c r="V7" i="46"/>
  <c r="U7" i="46"/>
  <c r="O7" i="46"/>
  <c r="N7" i="46"/>
  <c r="Q7" i="46" s="1"/>
  <c r="M7" i="46"/>
  <c r="AE7" i="46" s="1"/>
  <c r="K7" i="46"/>
  <c r="G7" i="46"/>
  <c r="AF6" i="46"/>
  <c r="AE6" i="46"/>
  <c r="V6" i="46"/>
  <c r="U6" i="46"/>
  <c r="O6" i="46"/>
  <c r="M6" i="46"/>
  <c r="N6" i="46" s="1"/>
  <c r="K6" i="46"/>
  <c r="G6" i="46"/>
  <c r="AF5" i="46"/>
  <c r="AE5" i="46"/>
  <c r="V5" i="46"/>
  <c r="O5" i="46"/>
  <c r="M5" i="46"/>
  <c r="N5" i="46" s="1"/>
  <c r="K5" i="46"/>
  <c r="G5" i="46"/>
  <c r="F1" i="46" s="1"/>
  <c r="Y2" i="46"/>
  <c r="K6" i="45" s="1"/>
  <c r="H2" i="46"/>
  <c r="H1" i="46"/>
  <c r="D1" i="46"/>
  <c r="M22" i="45"/>
  <c r="L22" i="45"/>
  <c r="K22" i="45"/>
  <c r="J22" i="45"/>
  <c r="I22" i="45"/>
  <c r="H22" i="45"/>
  <c r="G22" i="45"/>
  <c r="F22" i="45"/>
  <c r="E22" i="45"/>
  <c r="D22" i="45"/>
  <c r="K21" i="45"/>
  <c r="I21" i="45"/>
  <c r="H21" i="45"/>
  <c r="G21" i="45"/>
  <c r="F21" i="45"/>
  <c r="M20" i="45"/>
  <c r="L20" i="45"/>
  <c r="K20" i="45"/>
  <c r="J20" i="45"/>
  <c r="I20" i="45"/>
  <c r="H20" i="45"/>
  <c r="G20" i="45"/>
  <c r="F20" i="45"/>
  <c r="E20" i="45"/>
  <c r="D20" i="45"/>
  <c r="M19" i="45"/>
  <c r="K19" i="45"/>
  <c r="I19" i="45"/>
  <c r="G19" i="45"/>
  <c r="F19" i="45"/>
  <c r="E19" i="45"/>
  <c r="D19" i="45"/>
  <c r="M18" i="45"/>
  <c r="L18" i="45"/>
  <c r="K18" i="45"/>
  <c r="J18" i="45"/>
  <c r="E18" i="45"/>
  <c r="D18" i="45"/>
  <c r="M17" i="45"/>
  <c r="L17" i="45"/>
  <c r="K17" i="45"/>
  <c r="J17" i="45"/>
  <c r="I17" i="45"/>
  <c r="H17" i="45"/>
  <c r="G17" i="45"/>
  <c r="F17" i="45"/>
  <c r="E17" i="45"/>
  <c r="D17" i="45"/>
  <c r="M16" i="45"/>
  <c r="L16" i="45"/>
  <c r="K16" i="45"/>
  <c r="J16" i="45"/>
  <c r="I16" i="45"/>
  <c r="H16" i="45"/>
  <c r="G16" i="45"/>
  <c r="F16" i="45"/>
  <c r="E16" i="45"/>
  <c r="D16" i="45"/>
  <c r="M13" i="45"/>
  <c r="L13" i="45"/>
  <c r="K13" i="45"/>
  <c r="I6" i="45" s="1"/>
  <c r="J13" i="45"/>
  <c r="I13" i="45"/>
  <c r="H13" i="45"/>
  <c r="G13" i="45"/>
  <c r="F13" i="45"/>
  <c r="M6" i="45"/>
  <c r="F3" i="45"/>
  <c r="C3" i="45"/>
  <c r="G8" i="51" l="1"/>
  <c r="F8" i="51"/>
  <c r="E8" i="51"/>
  <c r="Q8" i="50"/>
  <c r="R5" i="50" s="1"/>
  <c r="P8" i="50"/>
  <c r="D14" i="49"/>
  <c r="D2" i="50"/>
  <c r="Q73" i="50"/>
  <c r="R65" i="50" s="1"/>
  <c r="P73" i="50"/>
  <c r="M14" i="49"/>
  <c r="M15" i="49" s="1"/>
  <c r="Q14" i="50"/>
  <c r="R9" i="50" s="1"/>
  <c r="P14" i="50"/>
  <c r="E14" i="49"/>
  <c r="E15" i="49" s="1"/>
  <c r="Q36" i="50"/>
  <c r="R28" i="50" s="1"/>
  <c r="P36" i="50"/>
  <c r="K14" i="49"/>
  <c r="Q45" i="50"/>
  <c r="R37" i="50" s="1"/>
  <c r="P45" i="50"/>
  <c r="L14" i="49"/>
  <c r="L15" i="49" s="1"/>
  <c r="H14" i="49"/>
  <c r="H15" i="49" s="1"/>
  <c r="Q50" i="50"/>
  <c r="R46" i="50" s="1"/>
  <c r="P50" i="50"/>
  <c r="F14" i="49"/>
  <c r="F15" i="49" s="1"/>
  <c r="Q20" i="50"/>
  <c r="R15" i="50" s="1"/>
  <c r="P20" i="50"/>
  <c r="Q64" i="50"/>
  <c r="R59" i="50" s="1"/>
  <c r="P64" i="50"/>
  <c r="J14" i="49"/>
  <c r="J15" i="49" s="1"/>
  <c r="P58" i="50"/>
  <c r="I14" i="49"/>
  <c r="I15" i="49" s="1"/>
  <c r="Q58" i="50"/>
  <c r="R51" i="50" s="1"/>
  <c r="G14" i="49"/>
  <c r="G15" i="49" s="1"/>
  <c r="Q27" i="50"/>
  <c r="R21" i="50" s="1"/>
  <c r="P27" i="50"/>
  <c r="Q26" i="48"/>
  <c r="P26" i="48"/>
  <c r="P21" i="48"/>
  <c r="Q21" i="48"/>
  <c r="Q42" i="48"/>
  <c r="P42" i="48"/>
  <c r="Q7" i="48"/>
  <c r="P7" i="48"/>
  <c r="Q32" i="48"/>
  <c r="P32" i="48"/>
  <c r="Q12" i="48"/>
  <c r="P12" i="48"/>
  <c r="Q17" i="48"/>
  <c r="P17" i="48"/>
  <c r="N49" i="48"/>
  <c r="AF49" i="48"/>
  <c r="AG45" i="48" s="1"/>
  <c r="AE49" i="48"/>
  <c r="N20" i="48"/>
  <c r="AF20" i="48"/>
  <c r="AG16" i="48" s="1"/>
  <c r="AE20" i="48"/>
  <c r="Q64" i="48"/>
  <c r="P64" i="48"/>
  <c r="P68" i="48"/>
  <c r="Q68" i="48"/>
  <c r="Q60" i="48"/>
  <c r="P60" i="48"/>
  <c r="Q19" i="48"/>
  <c r="P19" i="48"/>
  <c r="Q16" i="48"/>
  <c r="P16" i="48"/>
  <c r="Q67" i="48"/>
  <c r="P67" i="48"/>
  <c r="Q13" i="48"/>
  <c r="P13" i="48"/>
  <c r="P65" i="48"/>
  <c r="Q65" i="48"/>
  <c r="P24" i="48"/>
  <c r="Q24" i="48"/>
  <c r="Q30" i="48"/>
  <c r="P30" i="48"/>
  <c r="Q72" i="48"/>
  <c r="P72" i="48"/>
  <c r="Q73" i="48"/>
  <c r="P73" i="48"/>
  <c r="Q58" i="48"/>
  <c r="P58" i="48"/>
  <c r="N44" i="48"/>
  <c r="AF44" i="48"/>
  <c r="AG36" i="48" s="1"/>
  <c r="AE44" i="48"/>
  <c r="AF8" i="48"/>
  <c r="AG5" i="48" s="1"/>
  <c r="AE8" i="48"/>
  <c r="N8" i="48"/>
  <c r="Q45" i="48"/>
  <c r="P45" i="48"/>
  <c r="Q48" i="48"/>
  <c r="P48" i="48"/>
  <c r="Q55" i="48"/>
  <c r="P55" i="48"/>
  <c r="Q34" i="48"/>
  <c r="P34" i="48"/>
  <c r="Q40" i="48"/>
  <c r="P40" i="48"/>
  <c r="Q62" i="48"/>
  <c r="P62" i="48"/>
  <c r="Q37" i="48"/>
  <c r="P37" i="48"/>
  <c r="AF15" i="48"/>
  <c r="AG9" i="48" s="1"/>
  <c r="AE15" i="48"/>
  <c r="N15" i="48"/>
  <c r="N66" i="48"/>
  <c r="AF66" i="48"/>
  <c r="AG60" i="48" s="1"/>
  <c r="AE66" i="48"/>
  <c r="P47" i="48"/>
  <c r="Q47" i="48"/>
  <c r="Q23" i="48"/>
  <c r="P23" i="48"/>
  <c r="P63" i="48"/>
  <c r="Q63" i="48"/>
  <c r="Q29" i="48"/>
  <c r="P29" i="48"/>
  <c r="Q52" i="48"/>
  <c r="P52" i="48"/>
  <c r="Q61" i="48"/>
  <c r="P61" i="48"/>
  <c r="AF59" i="48"/>
  <c r="AG50" i="48" s="1"/>
  <c r="AE59" i="48"/>
  <c r="N59" i="48"/>
  <c r="Q10" i="48"/>
  <c r="P10" i="48"/>
  <c r="Q5" i="48"/>
  <c r="P5" i="48"/>
  <c r="AF27" i="48"/>
  <c r="AG21" i="48" s="1"/>
  <c r="N27" i="48"/>
  <c r="AE27" i="48"/>
  <c r="Q53" i="48"/>
  <c r="P53" i="48"/>
  <c r="F2" i="48"/>
  <c r="I3" i="47"/>
  <c r="P35" i="48"/>
  <c r="Q35" i="48"/>
  <c r="R28" i="48" s="1"/>
  <c r="K14" i="47"/>
  <c r="Q70" i="48"/>
  <c r="P70" i="48"/>
  <c r="AF75" i="48"/>
  <c r="AG67" i="48" s="1"/>
  <c r="AE75" i="48"/>
  <c r="N75" i="48"/>
  <c r="P22" i="48"/>
  <c r="Q22" i="48"/>
  <c r="N59" i="46"/>
  <c r="AF59" i="46"/>
  <c r="AE59" i="46"/>
  <c r="N66" i="46"/>
  <c r="AE66" i="46"/>
  <c r="AF66" i="46"/>
  <c r="N64" i="46"/>
  <c r="AF64" i="46"/>
  <c r="AE64" i="46"/>
  <c r="N68" i="46"/>
  <c r="AE68" i="46"/>
  <c r="AF68" i="46"/>
  <c r="Q67" i="46"/>
  <c r="P67" i="46"/>
  <c r="N17" i="46"/>
  <c r="AF17" i="46"/>
  <c r="AE17" i="46"/>
  <c r="M23" i="46"/>
  <c r="N18" i="46"/>
  <c r="AF18" i="46"/>
  <c r="AE18" i="46"/>
  <c r="Q5" i="46"/>
  <c r="P5" i="46"/>
  <c r="N20" i="46"/>
  <c r="AF20" i="46"/>
  <c r="AE20" i="46"/>
  <c r="F2" i="46"/>
  <c r="I3" i="45"/>
  <c r="N21" i="46"/>
  <c r="AF21" i="46"/>
  <c r="AE21" i="46"/>
  <c r="N46" i="46"/>
  <c r="M55" i="46"/>
  <c r="AF46" i="46"/>
  <c r="AE46" i="46"/>
  <c r="N41" i="46"/>
  <c r="M45" i="46"/>
  <c r="AF41" i="46"/>
  <c r="AE41" i="46"/>
  <c r="N43" i="46"/>
  <c r="AF43" i="46"/>
  <c r="AE43" i="46"/>
  <c r="N48" i="46"/>
  <c r="AE48" i="46"/>
  <c r="AF48" i="46"/>
  <c r="Q28" i="46"/>
  <c r="P28" i="46"/>
  <c r="N60" i="46"/>
  <c r="AF60" i="46"/>
  <c r="AE60" i="46"/>
  <c r="Q69" i="46"/>
  <c r="P69" i="46"/>
  <c r="N25" i="46"/>
  <c r="M31" i="46"/>
  <c r="AF25" i="46"/>
  <c r="AE25" i="46"/>
  <c r="AF39" i="46"/>
  <c r="AE39" i="46"/>
  <c r="N39" i="46"/>
  <c r="Q49" i="46"/>
  <c r="P49" i="46"/>
  <c r="AF58" i="46"/>
  <c r="AE58" i="46"/>
  <c r="N58" i="46"/>
  <c r="N63" i="46"/>
  <c r="AF63" i="46"/>
  <c r="AE63" i="46"/>
  <c r="M71" i="46"/>
  <c r="N65" i="46"/>
  <c r="AF65" i="46"/>
  <c r="AE65" i="46"/>
  <c r="G6" i="45"/>
  <c r="F6" i="45"/>
  <c r="E6" i="45"/>
  <c r="N19" i="46"/>
  <c r="AF19" i="46"/>
  <c r="AE19" i="46"/>
  <c r="N44" i="46"/>
  <c r="AF44" i="46"/>
  <c r="AE44" i="46"/>
  <c r="Q26" i="46"/>
  <c r="P26" i="46"/>
  <c r="N61" i="46"/>
  <c r="AF61" i="46"/>
  <c r="AE61" i="46"/>
  <c r="Q6" i="46"/>
  <c r="P6" i="46"/>
  <c r="N16" i="46"/>
  <c r="AF16" i="46"/>
  <c r="AG13" i="46" s="1"/>
  <c r="AE16" i="46"/>
  <c r="N22" i="46"/>
  <c r="AF22" i="46"/>
  <c r="AE22" i="46"/>
  <c r="AF42" i="46"/>
  <c r="AE42" i="46"/>
  <c r="N42" i="46"/>
  <c r="N47" i="46"/>
  <c r="AF47" i="46"/>
  <c r="AE47" i="46"/>
  <c r="N15" i="46"/>
  <c r="N36" i="46"/>
  <c r="N38" i="46"/>
  <c r="N57" i="46"/>
  <c r="AD2" i="46"/>
  <c r="N6" i="45" s="1"/>
  <c r="N12" i="46"/>
  <c r="N13" i="46"/>
  <c r="N14" i="46"/>
  <c r="N32" i="46"/>
  <c r="N35" i="46"/>
  <c r="N37" i="46"/>
  <c r="N53" i="46"/>
  <c r="N8" i="46"/>
  <c r="N9" i="46"/>
  <c r="N10" i="46"/>
  <c r="N34" i="46"/>
  <c r="N52" i="46"/>
  <c r="N54" i="46"/>
  <c r="AF67" i="46"/>
  <c r="N11" i="46"/>
  <c r="N30" i="46"/>
  <c r="N33" i="46"/>
  <c r="N51" i="46"/>
  <c r="Z2" i="46"/>
  <c r="L6" i="45" s="1"/>
  <c r="N56" i="46"/>
  <c r="M62" i="46"/>
  <c r="P7" i="46"/>
  <c r="AE15" i="46"/>
  <c r="P24" i="46"/>
  <c r="P27" i="46"/>
  <c r="P29" i="46"/>
  <c r="AE38" i="46"/>
  <c r="P50" i="46"/>
  <c r="AE56" i="46"/>
  <c r="AE57" i="46"/>
  <c r="P70" i="46"/>
  <c r="AE13" i="46"/>
  <c r="AE14" i="46"/>
  <c r="AE35" i="46"/>
  <c r="AE37" i="46"/>
  <c r="AE9" i="46"/>
  <c r="AE12" i="46"/>
  <c r="AF13" i="46"/>
  <c r="AE34" i="46"/>
  <c r="AE36" i="46"/>
  <c r="M40" i="46"/>
  <c r="AE52" i="46"/>
  <c r="AE54" i="46"/>
  <c r="AE8" i="46"/>
  <c r="AE11" i="46"/>
  <c r="AE30" i="46"/>
  <c r="AE32" i="46"/>
  <c r="AE33" i="46"/>
  <c r="AE51" i="46"/>
  <c r="AE53" i="46"/>
  <c r="AD70" i="42"/>
  <c r="Z70" i="42"/>
  <c r="Y70" i="42"/>
  <c r="O70" i="42"/>
  <c r="K70" i="42"/>
  <c r="AF69" i="42"/>
  <c r="V69" i="42"/>
  <c r="U69" i="42"/>
  <c r="O69" i="42"/>
  <c r="M69" i="42"/>
  <c r="AE69" i="42" s="1"/>
  <c r="K69" i="42"/>
  <c r="G69" i="42"/>
  <c r="AF68" i="42"/>
  <c r="AE68" i="42"/>
  <c r="V68" i="42"/>
  <c r="U68" i="42"/>
  <c r="O68" i="42"/>
  <c r="N68" i="42"/>
  <c r="Q68" i="42" s="1"/>
  <c r="M68" i="42"/>
  <c r="K68" i="42"/>
  <c r="G68" i="42"/>
  <c r="V67" i="42"/>
  <c r="M67" i="42" s="1"/>
  <c r="U67" i="42"/>
  <c r="O67" i="42"/>
  <c r="K67" i="42"/>
  <c r="G67" i="42"/>
  <c r="V66" i="42"/>
  <c r="M66" i="42" s="1"/>
  <c r="U66" i="42"/>
  <c r="O66" i="42"/>
  <c r="K66" i="42"/>
  <c r="G66" i="42"/>
  <c r="X65" i="42"/>
  <c r="W65" i="42"/>
  <c r="V65" i="42"/>
  <c r="M65" i="42" s="1"/>
  <c r="U65" i="42"/>
  <c r="O65" i="42"/>
  <c r="K65" i="42"/>
  <c r="G65" i="42"/>
  <c r="V64" i="42"/>
  <c r="M64" i="42" s="1"/>
  <c r="U64" i="42"/>
  <c r="O64" i="42"/>
  <c r="K64" i="42"/>
  <c r="G64" i="42"/>
  <c r="V63" i="42"/>
  <c r="M63" i="42" s="1"/>
  <c r="U63" i="42"/>
  <c r="O63" i="42"/>
  <c r="K63" i="42"/>
  <c r="G63" i="42"/>
  <c r="V62" i="42"/>
  <c r="M62" i="42" s="1"/>
  <c r="U62" i="42"/>
  <c r="O62" i="42"/>
  <c r="K62" i="42"/>
  <c r="G62" i="42"/>
  <c r="X61" i="42"/>
  <c r="W61" i="42"/>
  <c r="V61" i="42"/>
  <c r="M61" i="42" s="1"/>
  <c r="O61" i="42"/>
  <c r="K61" i="42"/>
  <c r="G61" i="42"/>
  <c r="AD60" i="42"/>
  <c r="Z60" i="42"/>
  <c r="Y60" i="42"/>
  <c r="J18" i="41" s="1"/>
  <c r="O60" i="42"/>
  <c r="K60" i="42"/>
  <c r="V59" i="42"/>
  <c r="M59" i="42" s="1"/>
  <c r="U59" i="42"/>
  <c r="O59" i="42"/>
  <c r="K59" i="42"/>
  <c r="G59" i="42"/>
  <c r="V58" i="42"/>
  <c r="M58" i="42" s="1"/>
  <c r="U58" i="42"/>
  <c r="O58" i="42"/>
  <c r="K58" i="42"/>
  <c r="G58" i="42"/>
  <c r="V57" i="42"/>
  <c r="M57" i="42" s="1"/>
  <c r="U57" i="42"/>
  <c r="O57" i="42"/>
  <c r="K57" i="42"/>
  <c r="G57" i="42"/>
  <c r="V56" i="42"/>
  <c r="U56" i="42"/>
  <c r="O56" i="42"/>
  <c r="M56" i="42"/>
  <c r="AF56" i="42" s="1"/>
  <c r="K56" i="42"/>
  <c r="G56" i="42"/>
  <c r="V55" i="42"/>
  <c r="U55" i="42"/>
  <c r="O55" i="42"/>
  <c r="M55" i="42"/>
  <c r="AF55" i="42" s="1"/>
  <c r="K55" i="42"/>
  <c r="G55" i="42"/>
  <c r="V54" i="42"/>
  <c r="O54" i="42"/>
  <c r="M54" i="42"/>
  <c r="AF54" i="42" s="1"/>
  <c r="K54" i="42"/>
  <c r="G54" i="42"/>
  <c r="AD53" i="42"/>
  <c r="Z53" i="42"/>
  <c r="Y53" i="42"/>
  <c r="O53" i="42"/>
  <c r="K53" i="42"/>
  <c r="V52" i="42"/>
  <c r="U52" i="42"/>
  <c r="O52" i="42"/>
  <c r="M52" i="42"/>
  <c r="AF52" i="42" s="1"/>
  <c r="K52" i="42"/>
  <c r="G52" i="42"/>
  <c r="AF51" i="42"/>
  <c r="V51" i="42"/>
  <c r="U51" i="42"/>
  <c r="O51" i="42"/>
  <c r="M51" i="42"/>
  <c r="AE51" i="42" s="1"/>
  <c r="K51" i="42"/>
  <c r="G51" i="42"/>
  <c r="AF50" i="42"/>
  <c r="AE50" i="42"/>
  <c r="V50" i="42"/>
  <c r="U50" i="42"/>
  <c r="O50" i="42"/>
  <c r="N50" i="42"/>
  <c r="Q50" i="42" s="1"/>
  <c r="M50" i="42"/>
  <c r="K50" i="42"/>
  <c r="G50" i="42"/>
  <c r="V49" i="42"/>
  <c r="M49" i="42" s="1"/>
  <c r="U49" i="42"/>
  <c r="O49" i="42"/>
  <c r="K49" i="42"/>
  <c r="G49" i="42"/>
  <c r="V48" i="42"/>
  <c r="M48" i="42" s="1"/>
  <c r="U48" i="42"/>
  <c r="O48" i="42"/>
  <c r="K48" i="42"/>
  <c r="G48" i="42"/>
  <c r="V47" i="42"/>
  <c r="M47" i="42" s="1"/>
  <c r="U47" i="42"/>
  <c r="O47" i="42"/>
  <c r="K47" i="42"/>
  <c r="G47" i="42"/>
  <c r="V46" i="42"/>
  <c r="M46" i="42" s="1"/>
  <c r="O46" i="42"/>
  <c r="K46" i="42"/>
  <c r="G46" i="42"/>
  <c r="AD45" i="42"/>
  <c r="Z45" i="42"/>
  <c r="Y45" i="42"/>
  <c r="O45" i="42"/>
  <c r="K45" i="42"/>
  <c r="V44" i="42"/>
  <c r="M44" i="42" s="1"/>
  <c r="U44" i="42"/>
  <c r="O44" i="42"/>
  <c r="K44" i="42"/>
  <c r="G44" i="42"/>
  <c r="V43" i="42"/>
  <c r="M43" i="42" s="1"/>
  <c r="U43" i="42"/>
  <c r="O43" i="42"/>
  <c r="K43" i="42"/>
  <c r="G43" i="42"/>
  <c r="V42" i="42"/>
  <c r="U42" i="42"/>
  <c r="O42" i="42"/>
  <c r="M42" i="42"/>
  <c r="AF42" i="42" s="1"/>
  <c r="K42" i="42"/>
  <c r="G42" i="42"/>
  <c r="X41" i="42"/>
  <c r="W41" i="42"/>
  <c r="V41" i="42"/>
  <c r="M41" i="42" s="1"/>
  <c r="O41" i="42"/>
  <c r="K41" i="42"/>
  <c r="G41" i="42"/>
  <c r="AD40" i="42"/>
  <c r="Z40" i="42"/>
  <c r="L19" i="41" s="1"/>
  <c r="Y40" i="42"/>
  <c r="L18" i="41" s="1"/>
  <c r="O40" i="42"/>
  <c r="K40" i="42"/>
  <c r="V39" i="42"/>
  <c r="U39" i="42"/>
  <c r="O39" i="42"/>
  <c r="M39" i="42"/>
  <c r="AF39" i="42" s="1"/>
  <c r="K39" i="42"/>
  <c r="G39" i="42"/>
  <c r="V38" i="42"/>
  <c r="U38" i="42"/>
  <c r="O38" i="42"/>
  <c r="M38" i="42"/>
  <c r="AF38" i="42" s="1"/>
  <c r="K38" i="42"/>
  <c r="G38" i="42"/>
  <c r="V37" i="42"/>
  <c r="U37" i="42"/>
  <c r="O37" i="42"/>
  <c r="N37" i="42"/>
  <c r="Q37" i="42" s="1"/>
  <c r="M37" i="42"/>
  <c r="AF37" i="42" s="1"/>
  <c r="K37" i="42"/>
  <c r="G37" i="42"/>
  <c r="X36" i="42"/>
  <c r="W36" i="42"/>
  <c r="V36" i="42"/>
  <c r="U36" i="42"/>
  <c r="O36" i="42"/>
  <c r="M36" i="42"/>
  <c r="AF36" i="42" s="1"/>
  <c r="K36" i="42"/>
  <c r="G36" i="42"/>
  <c r="V35" i="42"/>
  <c r="U35" i="42"/>
  <c r="O35" i="42"/>
  <c r="N35" i="42"/>
  <c r="Q35" i="42" s="1"/>
  <c r="M35" i="42"/>
  <c r="AF35" i="42" s="1"/>
  <c r="K35" i="42"/>
  <c r="G35" i="42"/>
  <c r="V34" i="42"/>
  <c r="U34" i="42"/>
  <c r="O34" i="42"/>
  <c r="M34" i="42"/>
  <c r="AF34" i="42" s="1"/>
  <c r="K34" i="42"/>
  <c r="G34" i="42"/>
  <c r="X33" i="42"/>
  <c r="W33" i="42"/>
  <c r="V33" i="42"/>
  <c r="O33" i="42"/>
  <c r="M33" i="42"/>
  <c r="AF33" i="42" s="1"/>
  <c r="K33" i="42"/>
  <c r="G33" i="42"/>
  <c r="AD32" i="42"/>
  <c r="Z32" i="42"/>
  <c r="Y32" i="42"/>
  <c r="O32" i="42"/>
  <c r="K32" i="42"/>
  <c r="V31" i="42"/>
  <c r="U31" i="42"/>
  <c r="O31" i="42"/>
  <c r="M31" i="42"/>
  <c r="AF31" i="42" s="1"/>
  <c r="K31" i="42"/>
  <c r="G31" i="42"/>
  <c r="AF30" i="42"/>
  <c r="V30" i="42"/>
  <c r="U30" i="42"/>
  <c r="O30" i="42"/>
  <c r="M30" i="42"/>
  <c r="AE30" i="42" s="1"/>
  <c r="K30" i="42"/>
  <c r="G30" i="42"/>
  <c r="AF29" i="42"/>
  <c r="AE29" i="42"/>
  <c r="V29" i="42"/>
  <c r="U29" i="42"/>
  <c r="O29" i="42"/>
  <c r="N29" i="42"/>
  <c r="Q29" i="42" s="1"/>
  <c r="M29" i="42"/>
  <c r="K29" i="42"/>
  <c r="G29" i="42"/>
  <c r="X28" i="42"/>
  <c r="W28" i="42"/>
  <c r="V28" i="42"/>
  <c r="U28" i="42"/>
  <c r="O28" i="42"/>
  <c r="M28" i="42"/>
  <c r="N28" i="42" s="1"/>
  <c r="K28" i="42"/>
  <c r="G28" i="42"/>
  <c r="AF27" i="42"/>
  <c r="AE27" i="42"/>
  <c r="V27" i="42"/>
  <c r="U27" i="42"/>
  <c r="O27" i="42"/>
  <c r="N27" i="42"/>
  <c r="Q27" i="42" s="1"/>
  <c r="M27" i="42"/>
  <c r="K27" i="42"/>
  <c r="G27" i="42"/>
  <c r="V26" i="42"/>
  <c r="M26" i="42" s="1"/>
  <c r="U26" i="42"/>
  <c r="O26" i="42"/>
  <c r="K26" i="42"/>
  <c r="G26" i="42"/>
  <c r="X25" i="42"/>
  <c r="W25" i="42"/>
  <c r="V25" i="42"/>
  <c r="O25" i="42"/>
  <c r="M25" i="42"/>
  <c r="N25" i="42" s="1"/>
  <c r="K25" i="42"/>
  <c r="G25" i="42"/>
  <c r="AD24" i="42"/>
  <c r="Z24" i="42"/>
  <c r="Y24" i="42"/>
  <c r="O24" i="42"/>
  <c r="K24" i="42"/>
  <c r="V23" i="42"/>
  <c r="M23" i="42" s="1"/>
  <c r="U23" i="42"/>
  <c r="O23" i="42"/>
  <c r="K23" i="42"/>
  <c r="G23" i="42"/>
  <c r="V22" i="42"/>
  <c r="M22" i="42" s="1"/>
  <c r="U22" i="42"/>
  <c r="O22" i="42"/>
  <c r="K22" i="42"/>
  <c r="G22" i="42"/>
  <c r="V21" i="42"/>
  <c r="M21" i="42" s="1"/>
  <c r="U21" i="42"/>
  <c r="O21" i="42"/>
  <c r="K21" i="42"/>
  <c r="G21" i="42"/>
  <c r="V20" i="42"/>
  <c r="M20" i="42" s="1"/>
  <c r="U20" i="42"/>
  <c r="O20" i="42"/>
  <c r="K20" i="42"/>
  <c r="G20" i="42"/>
  <c r="V19" i="42"/>
  <c r="M19" i="42" s="1"/>
  <c r="U19" i="42"/>
  <c r="O19" i="42"/>
  <c r="K19" i="42"/>
  <c r="G19" i="42"/>
  <c r="V18" i="42"/>
  <c r="M18" i="42" s="1"/>
  <c r="O18" i="42"/>
  <c r="K18" i="42"/>
  <c r="G18" i="42"/>
  <c r="AD17" i="42"/>
  <c r="Z17" i="42"/>
  <c r="Z2" i="42" s="1"/>
  <c r="L6" i="41" s="1"/>
  <c r="Y17" i="42"/>
  <c r="Y2" i="42" s="1"/>
  <c r="K6" i="41" s="1"/>
  <c r="O17" i="42"/>
  <c r="K17" i="42"/>
  <c r="V16" i="42"/>
  <c r="U16" i="42"/>
  <c r="O16" i="42"/>
  <c r="M16" i="42"/>
  <c r="AF16" i="42" s="1"/>
  <c r="K16" i="42"/>
  <c r="G16" i="42"/>
  <c r="V15" i="42"/>
  <c r="U15" i="42"/>
  <c r="O15" i="42"/>
  <c r="M15" i="42"/>
  <c r="AF15" i="42" s="1"/>
  <c r="K15" i="42"/>
  <c r="G15" i="42"/>
  <c r="V14" i="42"/>
  <c r="U14" i="42"/>
  <c r="O14" i="42"/>
  <c r="N14" i="42"/>
  <c r="Q14" i="42" s="1"/>
  <c r="M14" i="42"/>
  <c r="AF14" i="42" s="1"/>
  <c r="K14" i="42"/>
  <c r="G14" i="42"/>
  <c r="V13" i="42"/>
  <c r="O13" i="42"/>
  <c r="N13" i="42"/>
  <c r="Q13" i="42" s="1"/>
  <c r="M13" i="42"/>
  <c r="M17" i="42" s="1"/>
  <c r="K13" i="42"/>
  <c r="G13" i="42"/>
  <c r="AD12" i="42"/>
  <c r="Z12" i="42"/>
  <c r="Y12" i="42"/>
  <c r="O12" i="42"/>
  <c r="K12" i="42"/>
  <c r="AF11" i="42"/>
  <c r="V11" i="42"/>
  <c r="U11" i="42"/>
  <c r="O11" i="42"/>
  <c r="M11" i="42"/>
  <c r="AE11" i="42" s="1"/>
  <c r="K11" i="42"/>
  <c r="G11" i="42"/>
  <c r="AE10" i="42"/>
  <c r="X10" i="42"/>
  <c r="W10" i="42"/>
  <c r="V10" i="42"/>
  <c r="U10" i="42"/>
  <c r="O10" i="42"/>
  <c r="M10" i="42"/>
  <c r="N10" i="42" s="1"/>
  <c r="K10" i="42"/>
  <c r="G10" i="42"/>
  <c r="V9" i="42"/>
  <c r="O9" i="42"/>
  <c r="M9" i="42"/>
  <c r="AF9" i="42" s="1"/>
  <c r="K9" i="42"/>
  <c r="G9" i="42"/>
  <c r="AD8" i="42"/>
  <c r="Z8" i="42"/>
  <c r="Y8" i="42"/>
  <c r="O8" i="42"/>
  <c r="K8" i="42"/>
  <c r="AF7" i="42"/>
  <c r="AE7" i="42"/>
  <c r="V7" i="42"/>
  <c r="U7" i="42"/>
  <c r="O7" i="42"/>
  <c r="N7" i="42"/>
  <c r="Q7" i="42" s="1"/>
  <c r="M7" i="42"/>
  <c r="K7" i="42"/>
  <c r="G7" i="42"/>
  <c r="V6" i="42"/>
  <c r="M6" i="42" s="1"/>
  <c r="U6" i="42"/>
  <c r="O6" i="42"/>
  <c r="K6" i="42"/>
  <c r="G6" i="42"/>
  <c r="V5" i="42"/>
  <c r="M5" i="42" s="1"/>
  <c r="O5" i="42"/>
  <c r="K5" i="42"/>
  <c r="G5" i="42"/>
  <c r="F1" i="42" s="1"/>
  <c r="AD2" i="42"/>
  <c r="H2" i="42"/>
  <c r="H1" i="42"/>
  <c r="D1" i="42"/>
  <c r="M22" i="41"/>
  <c r="L22" i="41"/>
  <c r="K22" i="41"/>
  <c r="J22" i="41"/>
  <c r="I22" i="41"/>
  <c r="H22" i="41"/>
  <c r="G22" i="41"/>
  <c r="F22" i="41"/>
  <c r="E22" i="41"/>
  <c r="D22" i="41"/>
  <c r="M21" i="41"/>
  <c r="L21" i="41"/>
  <c r="K21" i="41"/>
  <c r="J21" i="41"/>
  <c r="I21" i="41"/>
  <c r="H21" i="41"/>
  <c r="G21" i="41"/>
  <c r="F21" i="41"/>
  <c r="E21" i="41"/>
  <c r="D21" i="41"/>
  <c r="M20" i="41"/>
  <c r="L20" i="41"/>
  <c r="K20" i="41"/>
  <c r="J20" i="41"/>
  <c r="I20" i="41"/>
  <c r="H20" i="41"/>
  <c r="G20" i="41"/>
  <c r="F20" i="41"/>
  <c r="E20" i="41"/>
  <c r="D20" i="41"/>
  <c r="M19" i="41"/>
  <c r="K19" i="41"/>
  <c r="J19" i="41"/>
  <c r="I19" i="41"/>
  <c r="H19" i="41"/>
  <c r="G19" i="41"/>
  <c r="F19" i="41"/>
  <c r="E19" i="41"/>
  <c r="D19" i="41"/>
  <c r="M18" i="41"/>
  <c r="K18" i="41"/>
  <c r="I18" i="41"/>
  <c r="H18" i="41"/>
  <c r="G18" i="41"/>
  <c r="F18" i="41"/>
  <c r="E18" i="41"/>
  <c r="D18" i="41"/>
  <c r="M17" i="41"/>
  <c r="L17" i="41"/>
  <c r="K17" i="41"/>
  <c r="J17" i="41"/>
  <c r="I17" i="41"/>
  <c r="H17" i="41"/>
  <c r="G17" i="41"/>
  <c r="F17" i="41"/>
  <c r="E17" i="41"/>
  <c r="D17" i="41"/>
  <c r="M16" i="41"/>
  <c r="L16" i="41"/>
  <c r="K16" i="41"/>
  <c r="J16" i="41"/>
  <c r="I16" i="41"/>
  <c r="H16" i="41"/>
  <c r="G16" i="41"/>
  <c r="F16" i="41"/>
  <c r="E16" i="41"/>
  <c r="D16" i="41"/>
  <c r="M13" i="41"/>
  <c r="L13" i="41"/>
  <c r="K13" i="41"/>
  <c r="I6" i="41" s="1"/>
  <c r="J13" i="41"/>
  <c r="I13" i="41"/>
  <c r="H13" i="41"/>
  <c r="G6" i="41" s="1"/>
  <c r="G13" i="41"/>
  <c r="F13" i="41"/>
  <c r="E13" i="41"/>
  <c r="D13" i="41"/>
  <c r="N6" i="41"/>
  <c r="M6" i="41"/>
  <c r="F3" i="41"/>
  <c r="C3" i="41"/>
  <c r="D15" i="49" l="1"/>
  <c r="G7" i="49"/>
  <c r="F7" i="49"/>
  <c r="E7" i="49"/>
  <c r="K15" i="49"/>
  <c r="I8" i="49" s="1"/>
  <c r="I7" i="49"/>
  <c r="Q75" i="48"/>
  <c r="R67" i="48" s="1"/>
  <c r="P75" i="48"/>
  <c r="M14" i="47"/>
  <c r="M15" i="47" s="1"/>
  <c r="Q66" i="48"/>
  <c r="R60" i="48" s="1"/>
  <c r="P66" i="48"/>
  <c r="J14" i="47"/>
  <c r="J15" i="47" s="1"/>
  <c r="Q27" i="48"/>
  <c r="R21" i="48" s="1"/>
  <c r="P27" i="48"/>
  <c r="G14" i="47"/>
  <c r="G15" i="47" s="1"/>
  <c r="Q15" i="48"/>
  <c r="R9" i="48" s="1"/>
  <c r="P15" i="48"/>
  <c r="E14" i="47"/>
  <c r="E15" i="47" s="1"/>
  <c r="K15" i="47"/>
  <c r="I14" i="47"/>
  <c r="I15" i="47" s="1"/>
  <c r="Q59" i="48"/>
  <c r="R50" i="48" s="1"/>
  <c r="P59" i="48"/>
  <c r="Q49" i="48"/>
  <c r="R45" i="48" s="1"/>
  <c r="P49" i="48"/>
  <c r="H14" i="47"/>
  <c r="H15" i="47" s="1"/>
  <c r="P20" i="48"/>
  <c r="Q20" i="48"/>
  <c r="R16" i="48" s="1"/>
  <c r="F14" i="47"/>
  <c r="F15" i="47" s="1"/>
  <c r="D2" i="48"/>
  <c r="Q8" i="48"/>
  <c r="R5" i="48" s="1"/>
  <c r="P8" i="48"/>
  <c r="D14" i="47"/>
  <c r="Q44" i="48"/>
  <c r="R36" i="48" s="1"/>
  <c r="P44" i="48"/>
  <c r="L14" i="47"/>
  <c r="L15" i="47" s="1"/>
  <c r="Q33" i="46"/>
  <c r="P33" i="46"/>
  <c r="N45" i="46"/>
  <c r="AF45" i="46"/>
  <c r="AG41" i="46" s="1"/>
  <c r="AE45" i="46"/>
  <c r="P59" i="46"/>
  <c r="Q59" i="46"/>
  <c r="Q30" i="46"/>
  <c r="P30" i="46"/>
  <c r="Q32" i="46"/>
  <c r="P32" i="46"/>
  <c r="Q42" i="46"/>
  <c r="P42" i="46"/>
  <c r="P60" i="46"/>
  <c r="Q60" i="46"/>
  <c r="Q41" i="46"/>
  <c r="P41" i="46"/>
  <c r="P20" i="46"/>
  <c r="Q20" i="46"/>
  <c r="N40" i="46"/>
  <c r="AF40" i="46"/>
  <c r="AG32" i="46" s="1"/>
  <c r="AE40" i="46"/>
  <c r="Q11" i="46"/>
  <c r="P11" i="46"/>
  <c r="Q14" i="46"/>
  <c r="P14" i="46"/>
  <c r="P61" i="46"/>
  <c r="Q61" i="46"/>
  <c r="Q39" i="46"/>
  <c r="P39" i="46"/>
  <c r="Q13" i="46"/>
  <c r="P13" i="46"/>
  <c r="Q68" i="46"/>
  <c r="P68" i="46"/>
  <c r="Q52" i="46"/>
  <c r="P52" i="46"/>
  <c r="AF71" i="46"/>
  <c r="AG63" i="46" s="1"/>
  <c r="AE71" i="46"/>
  <c r="N71" i="46"/>
  <c r="Q46" i="46"/>
  <c r="P46" i="46"/>
  <c r="Q47" i="46"/>
  <c r="P47" i="46"/>
  <c r="AF55" i="46"/>
  <c r="AG46" i="46" s="1"/>
  <c r="AE55" i="46"/>
  <c r="N55" i="46"/>
  <c r="Q34" i="46"/>
  <c r="P34" i="46"/>
  <c r="Q57" i="46"/>
  <c r="P57" i="46"/>
  <c r="Q22" i="46"/>
  <c r="P22" i="46"/>
  <c r="Q48" i="46"/>
  <c r="P48" i="46"/>
  <c r="Q18" i="46"/>
  <c r="P18" i="46"/>
  <c r="P64" i="46"/>
  <c r="Q64" i="46"/>
  <c r="Q10" i="46"/>
  <c r="P10" i="46"/>
  <c r="Q38" i="46"/>
  <c r="P38" i="46"/>
  <c r="Q44" i="46"/>
  <c r="P44" i="46"/>
  <c r="AF31" i="46"/>
  <c r="AG24" i="46" s="1"/>
  <c r="AE31" i="46"/>
  <c r="N31" i="46"/>
  <c r="N23" i="46"/>
  <c r="AE23" i="46"/>
  <c r="AF23" i="46"/>
  <c r="AG17" i="46" s="1"/>
  <c r="N62" i="46"/>
  <c r="AF62" i="46"/>
  <c r="AG56" i="46" s="1"/>
  <c r="AE62" i="46"/>
  <c r="Q9" i="46"/>
  <c r="P9" i="46"/>
  <c r="Q36" i="46"/>
  <c r="P36" i="46"/>
  <c r="Q63" i="46"/>
  <c r="P63" i="46"/>
  <c r="Q25" i="46"/>
  <c r="P25" i="46"/>
  <c r="Q21" i="46"/>
  <c r="P21" i="46"/>
  <c r="Q56" i="46"/>
  <c r="P56" i="46"/>
  <c r="Q8" i="46"/>
  <c r="R5" i="46" s="1"/>
  <c r="P8" i="46"/>
  <c r="D14" i="45"/>
  <c r="Q15" i="46"/>
  <c r="P15" i="46"/>
  <c r="Q16" i="46"/>
  <c r="R13" i="46" s="1"/>
  <c r="F14" i="45"/>
  <c r="F15" i="45" s="1"/>
  <c r="P16" i="46"/>
  <c r="Q58" i="46"/>
  <c r="P58" i="46"/>
  <c r="Q43" i="46"/>
  <c r="P43" i="46"/>
  <c r="Q66" i="46"/>
  <c r="P66" i="46"/>
  <c r="Q35" i="46"/>
  <c r="P35" i="46"/>
  <c r="Q54" i="46"/>
  <c r="P54" i="46"/>
  <c r="Q12" i="46"/>
  <c r="R9" i="46" s="1"/>
  <c r="E14" i="45"/>
  <c r="E15" i="45" s="1"/>
  <c r="P12" i="46"/>
  <c r="Q53" i="46"/>
  <c r="P53" i="46"/>
  <c r="Q19" i="46"/>
  <c r="P19" i="46"/>
  <c r="Q17" i="46"/>
  <c r="P17" i="46"/>
  <c r="Q65" i="46"/>
  <c r="P65" i="46"/>
  <c r="Q51" i="46"/>
  <c r="P51" i="46"/>
  <c r="Q37" i="46"/>
  <c r="P37" i="46"/>
  <c r="N49" i="42"/>
  <c r="AF49" i="42"/>
  <c r="AE49" i="42"/>
  <c r="N5" i="42"/>
  <c r="M8" i="42"/>
  <c r="AF5" i="42"/>
  <c r="AE5" i="42"/>
  <c r="N17" i="42"/>
  <c r="AF17" i="42"/>
  <c r="AG13" i="42" s="1"/>
  <c r="AE17" i="42"/>
  <c r="N26" i="42"/>
  <c r="AF26" i="42"/>
  <c r="AE26" i="42"/>
  <c r="Q28" i="42"/>
  <c r="P28" i="42"/>
  <c r="N47" i="42"/>
  <c r="AF47" i="42"/>
  <c r="AE47" i="42"/>
  <c r="N22" i="42"/>
  <c r="AF22" i="42"/>
  <c r="AE22" i="42"/>
  <c r="Q25" i="42"/>
  <c r="P25" i="42"/>
  <c r="N6" i="42"/>
  <c r="AF6" i="42"/>
  <c r="AE6" i="42"/>
  <c r="N20" i="42"/>
  <c r="AF20" i="42"/>
  <c r="AE20" i="42"/>
  <c r="N41" i="42"/>
  <c r="M45" i="42"/>
  <c r="AF41" i="42"/>
  <c r="AE41" i="42"/>
  <c r="N58" i="42"/>
  <c r="AF58" i="42"/>
  <c r="AE58" i="42"/>
  <c r="N65" i="42"/>
  <c r="AF65" i="42"/>
  <c r="AE65" i="42"/>
  <c r="N67" i="42"/>
  <c r="AF67" i="42"/>
  <c r="AE67" i="42"/>
  <c r="AF43" i="42"/>
  <c r="AE43" i="42"/>
  <c r="N43" i="42"/>
  <c r="N48" i="42"/>
  <c r="AF48" i="42"/>
  <c r="AE48" i="42"/>
  <c r="N18" i="42"/>
  <c r="AF18" i="42"/>
  <c r="AE18" i="42"/>
  <c r="M24" i="42"/>
  <c r="N61" i="42"/>
  <c r="AF61" i="42"/>
  <c r="AE61" i="42"/>
  <c r="M70" i="42"/>
  <c r="N63" i="42"/>
  <c r="AF63" i="42"/>
  <c r="AE63" i="42"/>
  <c r="N23" i="42"/>
  <c r="AF23" i="42"/>
  <c r="AE23" i="42"/>
  <c r="N46" i="42"/>
  <c r="AF46" i="42"/>
  <c r="AE46" i="42"/>
  <c r="M53" i="42"/>
  <c r="N21" i="42"/>
  <c r="AF21" i="42"/>
  <c r="AE21" i="42"/>
  <c r="N44" i="42"/>
  <c r="AF44" i="42"/>
  <c r="AE44" i="42"/>
  <c r="N19" i="42"/>
  <c r="AF19" i="42"/>
  <c r="AE19" i="42"/>
  <c r="Q10" i="42"/>
  <c r="P10" i="42"/>
  <c r="F2" i="42"/>
  <c r="I3" i="41"/>
  <c r="N59" i="42"/>
  <c r="AF59" i="42"/>
  <c r="AE59" i="42"/>
  <c r="AF57" i="42"/>
  <c r="AE57" i="42"/>
  <c r="N57" i="42"/>
  <c r="N64" i="42"/>
  <c r="AF64" i="42"/>
  <c r="AE64" i="42"/>
  <c r="N66" i="42"/>
  <c r="AF66" i="42"/>
  <c r="AE66" i="42"/>
  <c r="N62" i="42"/>
  <c r="AF62" i="42"/>
  <c r="AE62" i="42"/>
  <c r="E6" i="41"/>
  <c r="AF10" i="42"/>
  <c r="N16" i="42"/>
  <c r="AE25" i="42"/>
  <c r="AE28" i="42"/>
  <c r="M32" i="42"/>
  <c r="N39" i="42"/>
  <c r="N42" i="42"/>
  <c r="N56" i="42"/>
  <c r="M12" i="42"/>
  <c r="N15" i="42"/>
  <c r="AF25" i="42"/>
  <c r="AF28" i="42"/>
  <c r="N33" i="42"/>
  <c r="N36" i="42"/>
  <c r="N38" i="42"/>
  <c r="N54" i="42"/>
  <c r="N55" i="42"/>
  <c r="N9" i="42"/>
  <c r="N31" i="42"/>
  <c r="N34" i="42"/>
  <c r="N52" i="42"/>
  <c r="F6" i="41"/>
  <c r="N11" i="42"/>
  <c r="P13" i="42"/>
  <c r="P14" i="42"/>
  <c r="N30" i="42"/>
  <c r="P35" i="42"/>
  <c r="P37" i="42"/>
  <c r="N51" i="42"/>
  <c r="N69" i="42"/>
  <c r="AE16" i="42"/>
  <c r="AE39" i="42"/>
  <c r="AE42" i="42"/>
  <c r="AE56" i="42"/>
  <c r="M60" i="42"/>
  <c r="P7" i="42"/>
  <c r="AE15" i="42"/>
  <c r="P27" i="42"/>
  <c r="P29" i="42"/>
  <c r="AE38" i="42"/>
  <c r="P50" i="42"/>
  <c r="AE54" i="42"/>
  <c r="AE55" i="42"/>
  <c r="P68" i="42"/>
  <c r="AE13" i="42"/>
  <c r="AE14" i="42"/>
  <c r="AE35" i="42"/>
  <c r="AE37" i="42"/>
  <c r="AE9" i="42"/>
  <c r="AF13" i="42"/>
  <c r="AE31" i="42"/>
  <c r="AE33" i="42"/>
  <c r="AE34" i="42"/>
  <c r="AE36" i="42"/>
  <c r="M40" i="42"/>
  <c r="AE52" i="42"/>
  <c r="AD62" i="40"/>
  <c r="Z62" i="40"/>
  <c r="Y62" i="40"/>
  <c r="M18" i="39" s="1"/>
  <c r="O62" i="40"/>
  <c r="K62" i="40"/>
  <c r="M13" i="39" s="1"/>
  <c r="AF61" i="40"/>
  <c r="V61" i="40"/>
  <c r="U61" i="40"/>
  <c r="O61" i="40"/>
  <c r="M61" i="40"/>
  <c r="AE61" i="40" s="1"/>
  <c r="K61" i="40"/>
  <c r="G61" i="40"/>
  <c r="AF60" i="40"/>
  <c r="AE60" i="40"/>
  <c r="X60" i="40"/>
  <c r="W60" i="40"/>
  <c r="V60" i="40"/>
  <c r="U60" i="40"/>
  <c r="O60" i="40"/>
  <c r="N60" i="40"/>
  <c r="Q60" i="40" s="1"/>
  <c r="M60" i="40"/>
  <c r="K60" i="40"/>
  <c r="G60" i="40"/>
  <c r="AF59" i="40"/>
  <c r="V59" i="40"/>
  <c r="U59" i="40"/>
  <c r="O59" i="40"/>
  <c r="M59" i="40"/>
  <c r="AE59" i="40" s="1"/>
  <c r="K59" i="40"/>
  <c r="G59" i="40"/>
  <c r="AF58" i="40"/>
  <c r="AE58" i="40"/>
  <c r="V58" i="40"/>
  <c r="U58" i="40"/>
  <c r="O58" i="40"/>
  <c r="M58" i="40"/>
  <c r="N58" i="40" s="1"/>
  <c r="K58" i="40"/>
  <c r="G58" i="40"/>
  <c r="AE57" i="40"/>
  <c r="V57" i="40"/>
  <c r="M57" i="40" s="1"/>
  <c r="U57" i="40"/>
  <c r="O57" i="40"/>
  <c r="K57" i="40"/>
  <c r="G57" i="40"/>
  <c r="AF56" i="40"/>
  <c r="AE56" i="40"/>
  <c r="X56" i="40"/>
  <c r="W56" i="40"/>
  <c r="V56" i="40"/>
  <c r="O56" i="40"/>
  <c r="M56" i="40"/>
  <c r="N56" i="40" s="1"/>
  <c r="K56" i="40"/>
  <c r="G56" i="40"/>
  <c r="AD55" i="40"/>
  <c r="Z55" i="40"/>
  <c r="Y55" i="40"/>
  <c r="O55" i="40"/>
  <c r="K55" i="40"/>
  <c r="V54" i="40"/>
  <c r="M54" i="40" s="1"/>
  <c r="U54" i="40"/>
  <c r="O54" i="40"/>
  <c r="K54" i="40"/>
  <c r="G54" i="40"/>
  <c r="V53" i="40"/>
  <c r="M53" i="40" s="1"/>
  <c r="U53" i="40"/>
  <c r="O53" i="40"/>
  <c r="K53" i="40"/>
  <c r="G53" i="40"/>
  <c r="V52" i="40"/>
  <c r="M52" i="40" s="1"/>
  <c r="U52" i="40"/>
  <c r="O52" i="40"/>
  <c r="K52" i="40"/>
  <c r="G52" i="40"/>
  <c r="V51" i="40"/>
  <c r="M51" i="40" s="1"/>
  <c r="U51" i="40"/>
  <c r="O51" i="40"/>
  <c r="K51" i="40"/>
  <c r="G51" i="40"/>
  <c r="V50" i="40"/>
  <c r="M50" i="40" s="1"/>
  <c r="U50" i="40"/>
  <c r="O50" i="40"/>
  <c r="K50" i="40"/>
  <c r="G50" i="40"/>
  <c r="V49" i="40"/>
  <c r="M49" i="40" s="1"/>
  <c r="O49" i="40"/>
  <c r="K49" i="40"/>
  <c r="G49" i="40"/>
  <c r="AD48" i="40"/>
  <c r="I21" i="39" s="1"/>
  <c r="Z48" i="40"/>
  <c r="Y48" i="40"/>
  <c r="O48" i="40"/>
  <c r="K48" i="40"/>
  <c r="V47" i="40"/>
  <c r="U47" i="40"/>
  <c r="O47" i="40"/>
  <c r="M47" i="40"/>
  <c r="N47" i="40" s="1"/>
  <c r="K47" i="40"/>
  <c r="G47" i="40"/>
  <c r="V46" i="40"/>
  <c r="U46" i="40"/>
  <c r="O46" i="40"/>
  <c r="M46" i="40"/>
  <c r="K46" i="40"/>
  <c r="G46" i="40"/>
  <c r="V45" i="40"/>
  <c r="U45" i="40"/>
  <c r="O45" i="40"/>
  <c r="M45" i="40"/>
  <c r="AF45" i="40" s="1"/>
  <c r="K45" i="40"/>
  <c r="G45" i="40"/>
  <c r="V44" i="40"/>
  <c r="U44" i="40"/>
  <c r="O44" i="40"/>
  <c r="N44" i="40"/>
  <c r="Q44" i="40" s="1"/>
  <c r="M44" i="40"/>
  <c r="AF44" i="40" s="1"/>
  <c r="K44" i="40"/>
  <c r="G44" i="40"/>
  <c r="AF43" i="40"/>
  <c r="V43" i="40"/>
  <c r="U43" i="40"/>
  <c r="O43" i="40"/>
  <c r="M43" i="40"/>
  <c r="AE43" i="40" s="1"/>
  <c r="K43" i="40"/>
  <c r="G43" i="40"/>
  <c r="AF42" i="40"/>
  <c r="AE42" i="40"/>
  <c r="V42" i="40"/>
  <c r="U42" i="40"/>
  <c r="O42" i="40"/>
  <c r="M42" i="40"/>
  <c r="N42" i="40" s="1"/>
  <c r="K42" i="40"/>
  <c r="G42" i="40"/>
  <c r="AF41" i="40"/>
  <c r="AE41" i="40"/>
  <c r="V41" i="40"/>
  <c r="O41" i="40"/>
  <c r="M41" i="40"/>
  <c r="K41" i="40"/>
  <c r="G41" i="40"/>
  <c r="AD40" i="40"/>
  <c r="H21" i="39" s="1"/>
  <c r="Z40" i="40"/>
  <c r="Y40" i="40"/>
  <c r="O40" i="40"/>
  <c r="K40" i="40"/>
  <c r="V39" i="40"/>
  <c r="M39" i="40" s="1"/>
  <c r="U39" i="40"/>
  <c r="O39" i="40"/>
  <c r="K39" i="40"/>
  <c r="G39" i="40"/>
  <c r="V38" i="40"/>
  <c r="M38" i="40" s="1"/>
  <c r="U38" i="40"/>
  <c r="O38" i="40"/>
  <c r="K38" i="40"/>
  <c r="G38" i="40"/>
  <c r="V37" i="40"/>
  <c r="M37" i="40" s="1"/>
  <c r="U37" i="40"/>
  <c r="O37" i="40"/>
  <c r="K37" i="40"/>
  <c r="G37" i="40"/>
  <c r="X36" i="40"/>
  <c r="W36" i="40"/>
  <c r="V36" i="40"/>
  <c r="M36" i="40" s="1"/>
  <c r="O36" i="40"/>
  <c r="K36" i="40"/>
  <c r="G36" i="40"/>
  <c r="AD35" i="40"/>
  <c r="Z35" i="40"/>
  <c r="L19" i="39" s="1"/>
  <c r="Y35" i="40"/>
  <c r="L18" i="39" s="1"/>
  <c r="O35" i="40"/>
  <c r="K35" i="40"/>
  <c r="V34" i="40"/>
  <c r="M34" i="40" s="1"/>
  <c r="U34" i="40"/>
  <c r="O34" i="40"/>
  <c r="K34" i="40"/>
  <c r="G34" i="40"/>
  <c r="X33" i="40"/>
  <c r="W33" i="40"/>
  <c r="V33" i="40"/>
  <c r="M33" i="40" s="1"/>
  <c r="U33" i="40"/>
  <c r="O33" i="40"/>
  <c r="K33" i="40"/>
  <c r="G33" i="40"/>
  <c r="V32" i="40"/>
  <c r="M32" i="40" s="1"/>
  <c r="U32" i="40"/>
  <c r="O32" i="40"/>
  <c r="K32" i="40"/>
  <c r="G32" i="40"/>
  <c r="V31" i="40"/>
  <c r="M31" i="40" s="1"/>
  <c r="U31" i="40"/>
  <c r="O31" i="40"/>
  <c r="K31" i="40"/>
  <c r="G31" i="40"/>
  <c r="X30" i="40"/>
  <c r="W30" i="40"/>
  <c r="V30" i="40"/>
  <c r="M30" i="40" s="1"/>
  <c r="O30" i="40"/>
  <c r="K30" i="40"/>
  <c r="G30" i="40"/>
  <c r="AD29" i="40"/>
  <c r="Z29" i="40"/>
  <c r="K19" i="39" s="1"/>
  <c r="Y29" i="40"/>
  <c r="K18" i="39" s="1"/>
  <c r="O29" i="40"/>
  <c r="K29" i="40"/>
  <c r="V28" i="40"/>
  <c r="M28" i="40" s="1"/>
  <c r="U28" i="40"/>
  <c r="O28" i="40"/>
  <c r="K28" i="40"/>
  <c r="G28" i="40"/>
  <c r="X27" i="40"/>
  <c r="W27" i="40"/>
  <c r="V27" i="40"/>
  <c r="M27" i="40" s="1"/>
  <c r="U27" i="40"/>
  <c r="O27" i="40"/>
  <c r="K27" i="40"/>
  <c r="G27" i="40"/>
  <c r="V26" i="40"/>
  <c r="M26" i="40" s="1"/>
  <c r="U26" i="40"/>
  <c r="O26" i="40"/>
  <c r="K26" i="40"/>
  <c r="G26" i="40"/>
  <c r="V25" i="40"/>
  <c r="M25" i="40" s="1"/>
  <c r="U25" i="40"/>
  <c r="O25" i="40"/>
  <c r="N25" i="40"/>
  <c r="K25" i="40"/>
  <c r="G25" i="40"/>
  <c r="V24" i="40"/>
  <c r="U24" i="40"/>
  <c r="O24" i="40"/>
  <c r="M24" i="40"/>
  <c r="N24" i="40" s="1"/>
  <c r="K24" i="40"/>
  <c r="G24" i="40"/>
  <c r="X23" i="40"/>
  <c r="W23" i="40"/>
  <c r="V23" i="40"/>
  <c r="M23" i="40" s="1"/>
  <c r="O23" i="40"/>
  <c r="K23" i="40"/>
  <c r="G23" i="40"/>
  <c r="AD22" i="40"/>
  <c r="G21" i="39" s="1"/>
  <c r="Z22" i="40"/>
  <c r="Y22" i="40"/>
  <c r="O22" i="40"/>
  <c r="K22" i="40"/>
  <c r="V21" i="40"/>
  <c r="U21" i="40"/>
  <c r="O21" i="40"/>
  <c r="M21" i="40"/>
  <c r="K21" i="40"/>
  <c r="G21" i="40"/>
  <c r="V20" i="40"/>
  <c r="U20" i="40"/>
  <c r="O20" i="40"/>
  <c r="M20" i="40"/>
  <c r="K20" i="40"/>
  <c r="G20" i="40"/>
  <c r="V19" i="40"/>
  <c r="U19" i="40"/>
  <c r="O19" i="40"/>
  <c r="M19" i="40"/>
  <c r="AF19" i="40" s="1"/>
  <c r="K19" i="40"/>
  <c r="G19" i="40"/>
  <c r="V18" i="40"/>
  <c r="U18" i="40"/>
  <c r="O18" i="40"/>
  <c r="N18" i="40"/>
  <c r="Q18" i="40" s="1"/>
  <c r="M18" i="40"/>
  <c r="AF18" i="40" s="1"/>
  <c r="K18" i="40"/>
  <c r="G18" i="40"/>
  <c r="AF17" i="40"/>
  <c r="V17" i="40"/>
  <c r="U17" i="40"/>
  <c r="O17" i="40"/>
  <c r="M17" i="40"/>
  <c r="AE17" i="40" s="1"/>
  <c r="K17" i="40"/>
  <c r="G17" i="40"/>
  <c r="AF16" i="40"/>
  <c r="V16" i="40"/>
  <c r="O16" i="40"/>
  <c r="M16" i="40"/>
  <c r="AE16" i="40" s="1"/>
  <c r="K16" i="40"/>
  <c r="G16" i="40"/>
  <c r="AD15" i="40"/>
  <c r="Z15" i="40"/>
  <c r="Y15" i="40"/>
  <c r="O15" i="40"/>
  <c r="K15" i="40"/>
  <c r="V14" i="40"/>
  <c r="M14" i="40" s="1"/>
  <c r="U14" i="40"/>
  <c r="O14" i="40"/>
  <c r="K14" i="40"/>
  <c r="G14" i="40"/>
  <c r="V13" i="40"/>
  <c r="M13" i="40" s="1"/>
  <c r="U13" i="40"/>
  <c r="O13" i="40"/>
  <c r="K13" i="40"/>
  <c r="G13" i="40"/>
  <c r="V12" i="40"/>
  <c r="M12" i="40" s="1"/>
  <c r="O12" i="40"/>
  <c r="K12" i="40"/>
  <c r="G12" i="40"/>
  <c r="AD11" i="40"/>
  <c r="E21" i="39" s="1"/>
  <c r="Z11" i="40"/>
  <c r="Y11" i="40"/>
  <c r="O11" i="40"/>
  <c r="K11" i="40"/>
  <c r="E13" i="39" s="1"/>
  <c r="V10" i="40"/>
  <c r="M10" i="40" s="1"/>
  <c r="U10" i="40"/>
  <c r="O10" i="40"/>
  <c r="K10" i="40"/>
  <c r="G10" i="40"/>
  <c r="V9" i="40"/>
  <c r="M9" i="40" s="1"/>
  <c r="O9" i="40"/>
  <c r="K9" i="40"/>
  <c r="G9" i="40"/>
  <c r="AD8" i="40"/>
  <c r="AD2" i="40" s="1"/>
  <c r="Z8" i="40"/>
  <c r="D19" i="39" s="1"/>
  <c r="Y8" i="40"/>
  <c r="D18" i="39" s="1"/>
  <c r="O8" i="40"/>
  <c r="K8" i="40"/>
  <c r="D13" i="39" s="1"/>
  <c r="V7" i="40"/>
  <c r="M7" i="40" s="1"/>
  <c r="U7" i="40"/>
  <c r="O7" i="40"/>
  <c r="N7" i="40"/>
  <c r="K7" i="40"/>
  <c r="G7" i="40"/>
  <c r="V6" i="40"/>
  <c r="U6" i="40"/>
  <c r="O6" i="40"/>
  <c r="N6" i="40"/>
  <c r="M6" i="40"/>
  <c r="K6" i="40"/>
  <c r="G6" i="40"/>
  <c r="V5" i="40"/>
  <c r="O5" i="40"/>
  <c r="M5" i="40"/>
  <c r="K5" i="40"/>
  <c r="G5" i="40"/>
  <c r="H2" i="40"/>
  <c r="H1" i="40"/>
  <c r="F1" i="40"/>
  <c r="D1" i="40"/>
  <c r="F3" i="39" s="1"/>
  <c r="M22" i="39"/>
  <c r="L22" i="39"/>
  <c r="K22" i="39"/>
  <c r="J22" i="39"/>
  <c r="I22" i="39"/>
  <c r="H22" i="39"/>
  <c r="G22" i="39"/>
  <c r="F22" i="39"/>
  <c r="E22" i="39"/>
  <c r="D22" i="39"/>
  <c r="M21" i="39"/>
  <c r="L21" i="39"/>
  <c r="K21" i="39"/>
  <c r="J21" i="39"/>
  <c r="F21" i="39"/>
  <c r="M20" i="39"/>
  <c r="L20" i="39"/>
  <c r="K20" i="39"/>
  <c r="J20" i="39"/>
  <c r="I20" i="39"/>
  <c r="H20" i="39"/>
  <c r="G20" i="39"/>
  <c r="F20" i="39"/>
  <c r="E20" i="39"/>
  <c r="D20" i="39"/>
  <c r="M19" i="39"/>
  <c r="J19" i="39"/>
  <c r="I19" i="39"/>
  <c r="H19" i="39"/>
  <c r="G19" i="39"/>
  <c r="F19" i="39"/>
  <c r="J18" i="39"/>
  <c r="I18" i="39"/>
  <c r="H18" i="39"/>
  <c r="G18" i="39"/>
  <c r="F18" i="39"/>
  <c r="E18" i="39"/>
  <c r="M17" i="39"/>
  <c r="L17" i="39"/>
  <c r="K17" i="39"/>
  <c r="J17" i="39"/>
  <c r="I17" i="39"/>
  <c r="H17" i="39"/>
  <c r="G17" i="39"/>
  <c r="F17" i="39"/>
  <c r="E17" i="39"/>
  <c r="D17" i="39"/>
  <c r="M16" i="39"/>
  <c r="L16" i="39"/>
  <c r="K16" i="39"/>
  <c r="J16" i="39"/>
  <c r="I16" i="39"/>
  <c r="H16" i="39"/>
  <c r="G16" i="39"/>
  <c r="F16" i="39"/>
  <c r="E16" i="39"/>
  <c r="D16" i="39"/>
  <c r="L13" i="39"/>
  <c r="K13" i="39"/>
  <c r="I6" i="39" s="1"/>
  <c r="J13" i="39"/>
  <c r="I13" i="39"/>
  <c r="H13" i="39"/>
  <c r="G13" i="39"/>
  <c r="F13" i="39"/>
  <c r="N6" i="39"/>
  <c r="M6" i="39"/>
  <c r="C3" i="39"/>
  <c r="G8" i="49" l="1"/>
  <c r="F8" i="49"/>
  <c r="E8" i="49"/>
  <c r="I7" i="47"/>
  <c r="D15" i="47"/>
  <c r="F7" i="47"/>
  <c r="E7" i="47"/>
  <c r="G7" i="47"/>
  <c r="I8" i="47"/>
  <c r="Q62" i="46"/>
  <c r="R56" i="46" s="1"/>
  <c r="P62" i="46"/>
  <c r="J14" i="45"/>
  <c r="J15" i="45" s="1"/>
  <c r="I14" i="45"/>
  <c r="I15" i="45" s="1"/>
  <c r="Q55" i="46"/>
  <c r="R46" i="46" s="1"/>
  <c r="P55" i="46"/>
  <c r="Q23" i="46"/>
  <c r="R17" i="46" s="1"/>
  <c r="P23" i="46"/>
  <c r="G14" i="45"/>
  <c r="G15" i="45" s="1"/>
  <c r="P40" i="46"/>
  <c r="Q40" i="46"/>
  <c r="R32" i="46" s="1"/>
  <c r="L14" i="45"/>
  <c r="L15" i="45" s="1"/>
  <c r="Q31" i="46"/>
  <c r="R24" i="46" s="1"/>
  <c r="P31" i="46"/>
  <c r="K14" i="45"/>
  <c r="D15" i="45"/>
  <c r="Q71" i="46"/>
  <c r="R63" i="46" s="1"/>
  <c r="P71" i="46"/>
  <c r="M14" i="45"/>
  <c r="M15" i="45" s="1"/>
  <c r="Q45" i="46"/>
  <c r="R41" i="46" s="1"/>
  <c r="P45" i="46"/>
  <c r="H14" i="45"/>
  <c r="H15" i="45" s="1"/>
  <c r="D2" i="46"/>
  <c r="N60" i="42"/>
  <c r="AF60" i="42"/>
  <c r="AG54" i="42" s="1"/>
  <c r="AE60" i="42"/>
  <c r="Q11" i="42"/>
  <c r="P11" i="42"/>
  <c r="Q15" i="42"/>
  <c r="P15" i="42"/>
  <c r="P63" i="42"/>
  <c r="Q63" i="42"/>
  <c r="Q43" i="42"/>
  <c r="P43" i="42"/>
  <c r="Q6" i="42"/>
  <c r="P6" i="42"/>
  <c r="Q34" i="42"/>
  <c r="P34" i="42"/>
  <c r="Q56" i="42"/>
  <c r="P56" i="42"/>
  <c r="P21" i="42"/>
  <c r="Q21" i="42"/>
  <c r="N45" i="42"/>
  <c r="AF45" i="42"/>
  <c r="AG41" i="42" s="1"/>
  <c r="AE45" i="42"/>
  <c r="Q22" i="42"/>
  <c r="P22" i="42"/>
  <c r="Q48" i="42"/>
  <c r="P48" i="42"/>
  <c r="Q52" i="42"/>
  <c r="P52" i="42"/>
  <c r="AF70" i="42"/>
  <c r="AG61" i="42" s="1"/>
  <c r="AE70" i="42"/>
  <c r="N70" i="42"/>
  <c r="N40" i="42"/>
  <c r="AF40" i="42"/>
  <c r="AG33" i="42" s="1"/>
  <c r="AE40" i="42"/>
  <c r="Q31" i="42"/>
  <c r="P31" i="42"/>
  <c r="Q42" i="42"/>
  <c r="P42" i="42"/>
  <c r="AF53" i="42"/>
  <c r="AG46" i="42" s="1"/>
  <c r="AE53" i="42"/>
  <c r="N53" i="42"/>
  <c r="Q41" i="42"/>
  <c r="P41" i="42"/>
  <c r="Q33" i="42"/>
  <c r="P33" i="42"/>
  <c r="Q26" i="42"/>
  <c r="P26" i="42"/>
  <c r="Q44" i="42"/>
  <c r="P44" i="42"/>
  <c r="Q69" i="42"/>
  <c r="P69" i="42"/>
  <c r="Q9" i="42"/>
  <c r="P9" i="42"/>
  <c r="Q39" i="42"/>
  <c r="P39" i="42"/>
  <c r="Q66" i="42"/>
  <c r="P66" i="42"/>
  <c r="Q61" i="42"/>
  <c r="P61" i="42"/>
  <c r="AE8" i="42"/>
  <c r="N8" i="42"/>
  <c r="AF8" i="42"/>
  <c r="AG5" i="42" s="1"/>
  <c r="Q51" i="42"/>
  <c r="P51" i="42"/>
  <c r="Q55" i="42"/>
  <c r="P55" i="42"/>
  <c r="AF32" i="42"/>
  <c r="AG25" i="42" s="1"/>
  <c r="AE32" i="42"/>
  <c r="N32" i="42"/>
  <c r="N24" i="42"/>
  <c r="AF24" i="42"/>
  <c r="AG18" i="42" s="1"/>
  <c r="AE24" i="42"/>
  <c r="Q67" i="42"/>
  <c r="P67" i="42"/>
  <c r="P47" i="42"/>
  <c r="Q47" i="42"/>
  <c r="Q5" i="42"/>
  <c r="P5" i="42"/>
  <c r="Q23" i="42"/>
  <c r="P23" i="42"/>
  <c r="F14" i="41"/>
  <c r="F15" i="41" s="1"/>
  <c r="Q17" i="42"/>
  <c r="R13" i="42" s="1"/>
  <c r="P17" i="42"/>
  <c r="Q54" i="42"/>
  <c r="P54" i="42"/>
  <c r="P46" i="42"/>
  <c r="Q46" i="42"/>
  <c r="Q20" i="42"/>
  <c r="P20" i="42"/>
  <c r="Q58" i="42"/>
  <c r="P58" i="42"/>
  <c r="Q38" i="42"/>
  <c r="P38" i="42"/>
  <c r="Q64" i="42"/>
  <c r="P64" i="42"/>
  <c r="AF12" i="42"/>
  <c r="AG9" i="42" s="1"/>
  <c r="AE12" i="42"/>
  <c r="N12" i="42"/>
  <c r="Q62" i="42"/>
  <c r="P62" i="42"/>
  <c r="Q59" i="42"/>
  <c r="P59" i="42"/>
  <c r="Q30" i="42"/>
  <c r="P30" i="42"/>
  <c r="Q36" i="42"/>
  <c r="P36" i="42"/>
  <c r="Q16" i="42"/>
  <c r="P16" i="42"/>
  <c r="Q57" i="42"/>
  <c r="P57" i="42"/>
  <c r="Q19" i="42"/>
  <c r="P19" i="42"/>
  <c r="Q18" i="42"/>
  <c r="P18" i="42"/>
  <c r="Q65" i="42"/>
  <c r="P65" i="42"/>
  <c r="Q49" i="42"/>
  <c r="P49" i="42"/>
  <c r="Q47" i="40"/>
  <c r="P47" i="40"/>
  <c r="Q24" i="40"/>
  <c r="P24" i="40"/>
  <c r="Q6" i="40"/>
  <c r="P6" i="40"/>
  <c r="N28" i="40"/>
  <c r="AF28" i="40"/>
  <c r="AE28" i="40"/>
  <c r="N14" i="40"/>
  <c r="AF14" i="40"/>
  <c r="N37" i="40"/>
  <c r="AF37" i="40"/>
  <c r="AE37" i="40"/>
  <c r="N12" i="40"/>
  <c r="M15" i="40"/>
  <c r="AE12" i="40"/>
  <c r="AF12" i="40"/>
  <c r="AE20" i="40"/>
  <c r="AF20" i="40"/>
  <c r="N20" i="40"/>
  <c r="AF25" i="40"/>
  <c r="AE25" i="40"/>
  <c r="N32" i="40"/>
  <c r="AF32" i="40"/>
  <c r="AE32" i="40"/>
  <c r="AE14" i="40"/>
  <c r="AF47" i="40"/>
  <c r="AE47" i="40"/>
  <c r="P42" i="40"/>
  <c r="Q42" i="40"/>
  <c r="F2" i="40"/>
  <c r="I3" i="39"/>
  <c r="P25" i="40"/>
  <c r="Q25" i="40"/>
  <c r="P58" i="40"/>
  <c r="Q58" i="40"/>
  <c r="N34" i="40"/>
  <c r="AF34" i="40"/>
  <c r="AE34" i="40"/>
  <c r="N51" i="40"/>
  <c r="AF51" i="40"/>
  <c r="AE51" i="40"/>
  <c r="N38" i="40"/>
  <c r="AF38" i="40"/>
  <c r="AE38" i="40"/>
  <c r="N27" i="40"/>
  <c r="AF27" i="40"/>
  <c r="AE27" i="40"/>
  <c r="N36" i="40"/>
  <c r="M40" i="40"/>
  <c r="AF36" i="40"/>
  <c r="AE36" i="40"/>
  <c r="N49" i="40"/>
  <c r="AF49" i="40"/>
  <c r="AE49" i="40"/>
  <c r="M55" i="40"/>
  <c r="N53" i="40"/>
  <c r="AE53" i="40"/>
  <c r="AF53" i="40"/>
  <c r="N13" i="40"/>
  <c r="AE13" i="40"/>
  <c r="AF13" i="40"/>
  <c r="N31" i="40"/>
  <c r="AF31" i="40"/>
  <c r="AE31" i="40"/>
  <c r="AE46" i="40"/>
  <c r="AF46" i="40"/>
  <c r="N46" i="40"/>
  <c r="N57" i="40"/>
  <c r="M62" i="40"/>
  <c r="AF57" i="40"/>
  <c r="N23" i="40"/>
  <c r="M29" i="40"/>
  <c r="AF23" i="40"/>
  <c r="AE23" i="40"/>
  <c r="N30" i="40"/>
  <c r="M35" i="40"/>
  <c r="AF30" i="40"/>
  <c r="AE30" i="40"/>
  <c r="N39" i="40"/>
  <c r="AE39" i="40"/>
  <c r="AF39" i="40"/>
  <c r="N52" i="40"/>
  <c r="AF52" i="40"/>
  <c r="AE52" i="40"/>
  <c r="AF5" i="40"/>
  <c r="M8" i="40"/>
  <c r="AE5" i="40"/>
  <c r="N10" i="40"/>
  <c r="AF10" i="40"/>
  <c r="AE10" i="40"/>
  <c r="AF24" i="40"/>
  <c r="AE24" i="40"/>
  <c r="N5" i="40"/>
  <c r="P7" i="40"/>
  <c r="Q7" i="40"/>
  <c r="AF7" i="40"/>
  <c r="AE7" i="40"/>
  <c r="Z2" i="40"/>
  <c r="L6" i="39" s="1"/>
  <c r="E19" i="39"/>
  <c r="AF21" i="40"/>
  <c r="AE21" i="40"/>
  <c r="N26" i="40"/>
  <c r="AF26" i="40"/>
  <c r="AE26" i="40"/>
  <c r="N33" i="40"/>
  <c r="AF33" i="40"/>
  <c r="AE33" i="40"/>
  <c r="M48" i="40"/>
  <c r="Q56" i="40"/>
  <c r="P56" i="40"/>
  <c r="G6" i="39"/>
  <c r="F6" i="39"/>
  <c r="E6" i="39"/>
  <c r="N9" i="40"/>
  <c r="M11" i="40"/>
  <c r="AF9" i="40"/>
  <c r="AE9" i="40"/>
  <c r="N21" i="40"/>
  <c r="N54" i="40"/>
  <c r="AF54" i="40"/>
  <c r="AF6" i="40"/>
  <c r="AE6" i="40"/>
  <c r="N50" i="40"/>
  <c r="AF50" i="40"/>
  <c r="AE50" i="40"/>
  <c r="AE54" i="40"/>
  <c r="N19" i="40"/>
  <c r="N45" i="40"/>
  <c r="D21" i="39"/>
  <c r="N16" i="40"/>
  <c r="N17" i="40"/>
  <c r="N43" i="40"/>
  <c r="N59" i="40"/>
  <c r="N61" i="40"/>
  <c r="P18" i="40"/>
  <c r="N41" i="40"/>
  <c r="P44" i="40"/>
  <c r="P60" i="40"/>
  <c r="Y2" i="40"/>
  <c r="K6" i="39" s="1"/>
  <c r="AE19" i="40"/>
  <c r="AE45" i="40"/>
  <c r="AE18" i="40"/>
  <c r="M22" i="40"/>
  <c r="AE44" i="40"/>
  <c r="AD63" i="38"/>
  <c r="Z63" i="38"/>
  <c r="Y63" i="38"/>
  <c r="M18" i="37" s="1"/>
  <c r="O63" i="38"/>
  <c r="K63" i="38"/>
  <c r="V62" i="38"/>
  <c r="U62" i="38"/>
  <c r="O62" i="38"/>
  <c r="M62" i="38"/>
  <c r="N62" i="38" s="1"/>
  <c r="K62" i="38"/>
  <c r="G62" i="38"/>
  <c r="V61" i="38"/>
  <c r="U61" i="38"/>
  <c r="O61" i="38"/>
  <c r="M61" i="38"/>
  <c r="AF61" i="38" s="1"/>
  <c r="K61" i="38"/>
  <c r="G61" i="38"/>
  <c r="X60" i="38"/>
  <c r="W60" i="38"/>
  <c r="V60" i="38"/>
  <c r="M60" i="38" s="1"/>
  <c r="U60" i="38"/>
  <c r="O60" i="38"/>
  <c r="K60" i="38"/>
  <c r="G60" i="38"/>
  <c r="V59" i="38"/>
  <c r="U59" i="38"/>
  <c r="O59" i="38"/>
  <c r="M59" i="38"/>
  <c r="K59" i="38"/>
  <c r="G59" i="38"/>
  <c r="AF58" i="38"/>
  <c r="AE58" i="38"/>
  <c r="V58" i="38"/>
  <c r="M58" i="38" s="1"/>
  <c r="N58" i="38" s="1"/>
  <c r="U58" i="38"/>
  <c r="O58" i="38"/>
  <c r="K58" i="38"/>
  <c r="G58" i="38"/>
  <c r="V57" i="38"/>
  <c r="U57" i="38"/>
  <c r="O57" i="38"/>
  <c r="M57" i="38"/>
  <c r="K57" i="38"/>
  <c r="G57" i="38"/>
  <c r="X56" i="38"/>
  <c r="W56" i="38"/>
  <c r="V56" i="38"/>
  <c r="O56" i="38"/>
  <c r="M56" i="38"/>
  <c r="AF56" i="38" s="1"/>
  <c r="K56" i="38"/>
  <c r="G56" i="38"/>
  <c r="AD55" i="38"/>
  <c r="J21" i="37" s="1"/>
  <c r="Z55" i="38"/>
  <c r="J19" i="37" s="1"/>
  <c r="Y55" i="38"/>
  <c r="J18" i="37" s="1"/>
  <c r="O55" i="38"/>
  <c r="K55" i="38"/>
  <c r="V54" i="38"/>
  <c r="M54" i="38" s="1"/>
  <c r="U54" i="38"/>
  <c r="O54" i="38"/>
  <c r="K54" i="38"/>
  <c r="G54" i="38"/>
  <c r="V53" i="38"/>
  <c r="M53" i="38" s="1"/>
  <c r="N53" i="38" s="1"/>
  <c r="P53" i="38" s="1"/>
  <c r="U53" i="38"/>
  <c r="Q53" i="38"/>
  <c r="O53" i="38"/>
  <c r="K53" i="38"/>
  <c r="G53" i="38"/>
  <c r="V52" i="38"/>
  <c r="U52" i="38"/>
  <c r="O52" i="38"/>
  <c r="M52" i="38"/>
  <c r="K52" i="38"/>
  <c r="G52" i="38"/>
  <c r="V51" i="38"/>
  <c r="M51" i="38" s="1"/>
  <c r="N51" i="38" s="1"/>
  <c r="U51" i="38"/>
  <c r="O51" i="38"/>
  <c r="K51" i="38"/>
  <c r="G51" i="38"/>
  <c r="V50" i="38"/>
  <c r="U50" i="38"/>
  <c r="O50" i="38"/>
  <c r="M50" i="38"/>
  <c r="K50" i="38"/>
  <c r="G50" i="38"/>
  <c r="V49" i="38"/>
  <c r="O49" i="38"/>
  <c r="M49" i="38"/>
  <c r="AF49" i="38" s="1"/>
  <c r="K49" i="38"/>
  <c r="G49" i="38"/>
  <c r="AD48" i="38"/>
  <c r="Z48" i="38"/>
  <c r="I19" i="37" s="1"/>
  <c r="Y48" i="38"/>
  <c r="I18" i="37" s="1"/>
  <c r="O48" i="38"/>
  <c r="K48" i="38"/>
  <c r="V47" i="38"/>
  <c r="U47" i="38"/>
  <c r="O47" i="38"/>
  <c r="M47" i="38"/>
  <c r="AF47" i="38" s="1"/>
  <c r="K47" i="38"/>
  <c r="G47" i="38"/>
  <c r="AE46" i="38"/>
  <c r="V46" i="38"/>
  <c r="M46" i="38" s="1"/>
  <c r="U46" i="38"/>
  <c r="O46" i="38"/>
  <c r="K46" i="38"/>
  <c r="G46" i="38"/>
  <c r="V45" i="38"/>
  <c r="M45" i="38" s="1"/>
  <c r="U45" i="38"/>
  <c r="O45" i="38"/>
  <c r="K45" i="38"/>
  <c r="G45" i="38"/>
  <c r="V44" i="38"/>
  <c r="M44" i="38" s="1"/>
  <c r="N44" i="38" s="1"/>
  <c r="P44" i="38" s="1"/>
  <c r="U44" i="38"/>
  <c r="Q44" i="38"/>
  <c r="O44" i="38"/>
  <c r="K44" i="38"/>
  <c r="G44" i="38"/>
  <c r="V43" i="38"/>
  <c r="U43" i="38"/>
  <c r="O43" i="38"/>
  <c r="M43" i="38"/>
  <c r="K43" i="38"/>
  <c r="G43" i="38"/>
  <c r="AF42" i="38"/>
  <c r="AE42" i="38"/>
  <c r="V42" i="38"/>
  <c r="M42" i="38" s="1"/>
  <c r="N42" i="38" s="1"/>
  <c r="U42" i="38"/>
  <c r="O42" i="38"/>
  <c r="K42" i="38"/>
  <c r="G42" i="38"/>
  <c r="V41" i="38"/>
  <c r="O41" i="38"/>
  <c r="N41" i="38"/>
  <c r="P41" i="38" s="1"/>
  <c r="M41" i="38"/>
  <c r="K41" i="38"/>
  <c r="G41" i="38"/>
  <c r="AD40" i="38"/>
  <c r="Z40" i="38"/>
  <c r="Y40" i="38"/>
  <c r="O40" i="38"/>
  <c r="K40" i="38"/>
  <c r="V39" i="38"/>
  <c r="U39" i="38"/>
  <c r="O39" i="38"/>
  <c r="N39" i="38"/>
  <c r="Q39" i="38" s="1"/>
  <c r="M39" i="38"/>
  <c r="K39" i="38"/>
  <c r="G39" i="38"/>
  <c r="V38" i="38"/>
  <c r="U38" i="38"/>
  <c r="O38" i="38"/>
  <c r="M38" i="38"/>
  <c r="AF38" i="38" s="1"/>
  <c r="K38" i="38"/>
  <c r="G38" i="38"/>
  <c r="AE37" i="38"/>
  <c r="V37" i="38"/>
  <c r="M37" i="38" s="1"/>
  <c r="U37" i="38"/>
  <c r="O37" i="38"/>
  <c r="K37" i="38"/>
  <c r="G37" i="38"/>
  <c r="X36" i="38"/>
  <c r="W36" i="38"/>
  <c r="V36" i="38"/>
  <c r="O36" i="38"/>
  <c r="M36" i="38"/>
  <c r="K36" i="38"/>
  <c r="G36" i="38"/>
  <c r="AD35" i="38"/>
  <c r="Z35" i="38"/>
  <c r="Y35" i="38"/>
  <c r="O35" i="38"/>
  <c r="K35" i="38"/>
  <c r="V34" i="38"/>
  <c r="U34" i="38"/>
  <c r="O34" i="38"/>
  <c r="N34" i="38"/>
  <c r="Q34" i="38" s="1"/>
  <c r="M34" i="38"/>
  <c r="K34" i="38"/>
  <c r="G34" i="38"/>
  <c r="X33" i="38"/>
  <c r="W33" i="38"/>
  <c r="V33" i="38"/>
  <c r="U33" i="38"/>
  <c r="O33" i="38"/>
  <c r="M33" i="38"/>
  <c r="AF33" i="38" s="1"/>
  <c r="K33" i="38"/>
  <c r="G33" i="38"/>
  <c r="AE32" i="38"/>
  <c r="V32" i="38"/>
  <c r="M32" i="38" s="1"/>
  <c r="U32" i="38"/>
  <c r="O32" i="38"/>
  <c r="K32" i="38"/>
  <c r="G32" i="38"/>
  <c r="V31" i="38"/>
  <c r="M31" i="38" s="1"/>
  <c r="U31" i="38"/>
  <c r="O31" i="38"/>
  <c r="K31" i="38"/>
  <c r="G31" i="38"/>
  <c r="AF30" i="38"/>
  <c r="AE30" i="38"/>
  <c r="X30" i="38"/>
  <c r="W30" i="38"/>
  <c r="V30" i="38"/>
  <c r="O30" i="38"/>
  <c r="M30" i="38"/>
  <c r="N30" i="38" s="1"/>
  <c r="K30" i="38"/>
  <c r="G30" i="38"/>
  <c r="AD29" i="38"/>
  <c r="Z29" i="38"/>
  <c r="Y29" i="38"/>
  <c r="K18" i="37" s="1"/>
  <c r="O29" i="38"/>
  <c r="K29" i="38"/>
  <c r="K13" i="37" s="1"/>
  <c r="I6" i="37" s="1"/>
  <c r="V28" i="38"/>
  <c r="U28" i="38"/>
  <c r="O28" i="38"/>
  <c r="M28" i="38"/>
  <c r="AF28" i="38" s="1"/>
  <c r="K28" i="38"/>
  <c r="G28" i="38"/>
  <c r="X27" i="38"/>
  <c r="W27" i="38"/>
  <c r="V27" i="38"/>
  <c r="M27" i="38" s="1"/>
  <c r="U27" i="38"/>
  <c r="O27" i="38"/>
  <c r="K27" i="38"/>
  <c r="G27" i="38"/>
  <c r="V26" i="38"/>
  <c r="M26" i="38" s="1"/>
  <c r="U26" i="38"/>
  <c r="O26" i="38"/>
  <c r="K26" i="38"/>
  <c r="G26" i="38"/>
  <c r="V25" i="38"/>
  <c r="M25" i="38" s="1"/>
  <c r="N25" i="38" s="1"/>
  <c r="P25" i="38" s="1"/>
  <c r="U25" i="38"/>
  <c r="Q25" i="38"/>
  <c r="O25" i="38"/>
  <c r="K25" i="38"/>
  <c r="G25" i="38"/>
  <c r="V24" i="38"/>
  <c r="U24" i="38"/>
  <c r="O24" i="38"/>
  <c r="M24" i="38"/>
  <c r="K24" i="38"/>
  <c r="G24" i="38"/>
  <c r="AF23" i="38"/>
  <c r="AE23" i="38"/>
  <c r="X23" i="38"/>
  <c r="W23" i="38"/>
  <c r="V23" i="38"/>
  <c r="O23" i="38"/>
  <c r="M23" i="38"/>
  <c r="N23" i="38" s="1"/>
  <c r="K23" i="38"/>
  <c r="G23" i="38"/>
  <c r="AD22" i="38"/>
  <c r="Z22" i="38"/>
  <c r="G19" i="37" s="1"/>
  <c r="Y22" i="38"/>
  <c r="G18" i="37" s="1"/>
  <c r="O22" i="38"/>
  <c r="K22" i="38"/>
  <c r="V21" i="38"/>
  <c r="U21" i="38"/>
  <c r="O21" i="38"/>
  <c r="M21" i="38"/>
  <c r="AF21" i="38" s="1"/>
  <c r="K21" i="38"/>
  <c r="G21" i="38"/>
  <c r="V20" i="38"/>
  <c r="M20" i="38" s="1"/>
  <c r="AE20" i="38" s="1"/>
  <c r="U20" i="38"/>
  <c r="O20" i="38"/>
  <c r="K20" i="38"/>
  <c r="G20" i="38"/>
  <c r="V19" i="38"/>
  <c r="M19" i="38" s="1"/>
  <c r="U19" i="38"/>
  <c r="O19" i="38"/>
  <c r="K19" i="38"/>
  <c r="G19" i="38"/>
  <c r="V18" i="38"/>
  <c r="M18" i="38" s="1"/>
  <c r="N18" i="38" s="1"/>
  <c r="P18" i="38" s="1"/>
  <c r="U18" i="38"/>
  <c r="Q18" i="38"/>
  <c r="O18" i="38"/>
  <c r="K18" i="38"/>
  <c r="G18" i="38"/>
  <c r="V17" i="38"/>
  <c r="U17" i="38"/>
  <c r="O17" i="38"/>
  <c r="M17" i="38"/>
  <c r="N17" i="38" s="1"/>
  <c r="K17" i="38"/>
  <c r="G17" i="38"/>
  <c r="AF16" i="38"/>
  <c r="AE16" i="38"/>
  <c r="V16" i="38"/>
  <c r="O16" i="38"/>
  <c r="M16" i="38"/>
  <c r="K16" i="38"/>
  <c r="G16" i="38"/>
  <c r="AD15" i="38"/>
  <c r="Z15" i="38"/>
  <c r="Y15" i="38"/>
  <c r="F18" i="37" s="1"/>
  <c r="O15" i="38"/>
  <c r="M15" i="38"/>
  <c r="K15" i="38"/>
  <c r="F13" i="37" s="1"/>
  <c r="V14" i="38"/>
  <c r="U14" i="38"/>
  <c r="O14" i="38"/>
  <c r="M14" i="38"/>
  <c r="AF14" i="38" s="1"/>
  <c r="K14" i="38"/>
  <c r="G14" i="38"/>
  <c r="V13" i="38"/>
  <c r="U13" i="38"/>
  <c r="O13" i="38"/>
  <c r="M13" i="38"/>
  <c r="K13" i="38"/>
  <c r="G13" i="38"/>
  <c r="V12" i="38"/>
  <c r="M12" i="38" s="1"/>
  <c r="O12" i="38"/>
  <c r="K12" i="38"/>
  <c r="G12" i="38"/>
  <c r="AD11" i="38"/>
  <c r="E21" i="37" s="1"/>
  <c r="Z11" i="38"/>
  <c r="E19" i="37" s="1"/>
  <c r="Y11" i="38"/>
  <c r="E18" i="37" s="1"/>
  <c r="O11" i="38"/>
  <c r="K11" i="38"/>
  <c r="V10" i="38"/>
  <c r="U10" i="38"/>
  <c r="O10" i="38"/>
  <c r="M10" i="38"/>
  <c r="K10" i="38"/>
  <c r="G10" i="38"/>
  <c r="V9" i="38"/>
  <c r="M9" i="38" s="1"/>
  <c r="AF9" i="38" s="1"/>
  <c r="O9" i="38"/>
  <c r="K9" i="38"/>
  <c r="G9" i="38"/>
  <c r="AD8" i="38"/>
  <c r="D21" i="37" s="1"/>
  <c r="Z8" i="38"/>
  <c r="Y8" i="38"/>
  <c r="D18" i="37" s="1"/>
  <c r="O8" i="38"/>
  <c r="K8" i="38"/>
  <c r="AF7" i="38"/>
  <c r="V7" i="38"/>
  <c r="U7" i="38"/>
  <c r="O7" i="38"/>
  <c r="M7" i="38"/>
  <c r="AE7" i="38" s="1"/>
  <c r="K7" i="38"/>
  <c r="G7" i="38"/>
  <c r="V6" i="38"/>
  <c r="U6" i="38"/>
  <c r="O6" i="38"/>
  <c r="M6" i="38"/>
  <c r="K6" i="38"/>
  <c r="G6" i="38"/>
  <c r="V5" i="38"/>
  <c r="O5" i="38"/>
  <c r="M5" i="38"/>
  <c r="AF5" i="38" s="1"/>
  <c r="K5" i="38"/>
  <c r="G5" i="38"/>
  <c r="H2" i="38"/>
  <c r="H1" i="38"/>
  <c r="D1" i="38"/>
  <c r="M22" i="37"/>
  <c r="L22" i="37"/>
  <c r="K22" i="37"/>
  <c r="J22" i="37"/>
  <c r="I22" i="37"/>
  <c r="H22" i="37"/>
  <c r="G22" i="37"/>
  <c r="F22" i="37"/>
  <c r="E22" i="37"/>
  <c r="D22" i="37"/>
  <c r="M21" i="37"/>
  <c r="L21" i="37"/>
  <c r="K21" i="37"/>
  <c r="I21" i="37"/>
  <c r="H21" i="37"/>
  <c r="G21" i="37"/>
  <c r="F21" i="37"/>
  <c r="M20" i="37"/>
  <c r="L20" i="37"/>
  <c r="K20" i="37"/>
  <c r="J20" i="37"/>
  <c r="I20" i="37"/>
  <c r="H20" i="37"/>
  <c r="G20" i="37"/>
  <c r="F20" i="37"/>
  <c r="E20" i="37"/>
  <c r="D20" i="37"/>
  <c r="M19" i="37"/>
  <c r="L19" i="37"/>
  <c r="K19" i="37"/>
  <c r="H19" i="37"/>
  <c r="F19" i="37"/>
  <c r="D19" i="37"/>
  <c r="L18" i="37"/>
  <c r="H18" i="37"/>
  <c r="M17" i="37"/>
  <c r="L17" i="37"/>
  <c r="K17" i="37"/>
  <c r="J17" i="37"/>
  <c r="I17" i="37"/>
  <c r="H17" i="37"/>
  <c r="G17" i="37"/>
  <c r="F17" i="37"/>
  <c r="E17" i="37"/>
  <c r="D17" i="37"/>
  <c r="M16" i="37"/>
  <c r="L16" i="37"/>
  <c r="K16" i="37"/>
  <c r="J16" i="37"/>
  <c r="I16" i="37"/>
  <c r="H16" i="37"/>
  <c r="G16" i="37"/>
  <c r="F16" i="37"/>
  <c r="E16" i="37"/>
  <c r="D16" i="37"/>
  <c r="M13" i="37"/>
  <c r="L13" i="37"/>
  <c r="J13" i="37"/>
  <c r="I13" i="37"/>
  <c r="H13" i="37"/>
  <c r="G13" i="37"/>
  <c r="E13" i="37"/>
  <c r="D13" i="37"/>
  <c r="M6" i="37"/>
  <c r="F3" i="37"/>
  <c r="C3" i="37"/>
  <c r="G8" i="47" l="1"/>
  <c r="F8" i="47"/>
  <c r="E8" i="47"/>
  <c r="G8" i="45"/>
  <c r="F8" i="45"/>
  <c r="E7" i="45"/>
  <c r="K15" i="45"/>
  <c r="I8" i="45" s="1"/>
  <c r="I7" i="45"/>
  <c r="F7" i="45"/>
  <c r="G7" i="45"/>
  <c r="Q24" i="42"/>
  <c r="R18" i="42" s="1"/>
  <c r="P24" i="42"/>
  <c r="G14" i="41"/>
  <c r="G15" i="41" s="1"/>
  <c r="Q70" i="42"/>
  <c r="R61" i="42" s="1"/>
  <c r="P70" i="42"/>
  <c r="M14" i="41"/>
  <c r="M15" i="41" s="1"/>
  <c r="I14" i="41"/>
  <c r="I15" i="41" s="1"/>
  <c r="Q53" i="42"/>
  <c r="R46" i="42" s="1"/>
  <c r="P53" i="42"/>
  <c r="L14" i="41"/>
  <c r="L15" i="41" s="1"/>
  <c r="Q40" i="42"/>
  <c r="R33" i="42" s="1"/>
  <c r="P40" i="42"/>
  <c r="Q12" i="42"/>
  <c r="R9" i="42" s="1"/>
  <c r="E14" i="41"/>
  <c r="E15" i="41" s="1"/>
  <c r="P12" i="42"/>
  <c r="Q32" i="42"/>
  <c r="R25" i="42" s="1"/>
  <c r="K14" i="41"/>
  <c r="P32" i="42"/>
  <c r="P45" i="42"/>
  <c r="H14" i="41"/>
  <c r="H15" i="41" s="1"/>
  <c r="Q45" i="42"/>
  <c r="R41" i="42" s="1"/>
  <c r="D2" i="42"/>
  <c r="Q8" i="42"/>
  <c r="R5" i="42" s="1"/>
  <c r="P8" i="42"/>
  <c r="D14" i="41"/>
  <c r="Q60" i="42"/>
  <c r="R54" i="42" s="1"/>
  <c r="P60" i="42"/>
  <c r="J14" i="41"/>
  <c r="J15" i="41" s="1"/>
  <c r="Q5" i="40"/>
  <c r="P5" i="40"/>
  <c r="Q45" i="40"/>
  <c r="P45" i="40"/>
  <c r="Q9" i="40"/>
  <c r="P9" i="40"/>
  <c r="Q21" i="40"/>
  <c r="P21" i="40"/>
  <c r="P52" i="40"/>
  <c r="Q52" i="40"/>
  <c r="Q37" i="40"/>
  <c r="P37" i="40"/>
  <c r="AF62" i="40"/>
  <c r="AG56" i="40" s="1"/>
  <c r="AE62" i="40"/>
  <c r="N62" i="40"/>
  <c r="Q27" i="40"/>
  <c r="P27" i="40"/>
  <c r="Q57" i="40"/>
  <c r="P57" i="40"/>
  <c r="Q14" i="40"/>
  <c r="P14" i="40"/>
  <c r="Q19" i="40"/>
  <c r="P19" i="40"/>
  <c r="N55" i="40"/>
  <c r="AE55" i="40"/>
  <c r="AF55" i="40"/>
  <c r="AG49" i="40" s="1"/>
  <c r="Q20" i="40"/>
  <c r="P20" i="40"/>
  <c r="Q26" i="40"/>
  <c r="P26" i="40"/>
  <c r="P38" i="40"/>
  <c r="Q38" i="40"/>
  <c r="Q28" i="40"/>
  <c r="P28" i="40"/>
  <c r="P41" i="40"/>
  <c r="Q41" i="40"/>
  <c r="N35" i="40"/>
  <c r="AF35" i="40"/>
  <c r="AG30" i="40" s="1"/>
  <c r="AE35" i="40"/>
  <c r="Q50" i="40"/>
  <c r="P50" i="40"/>
  <c r="N40" i="40"/>
  <c r="AF40" i="40"/>
  <c r="AG36" i="40" s="1"/>
  <c r="AE40" i="40"/>
  <c r="P30" i="40"/>
  <c r="Q30" i="40"/>
  <c r="Q51" i="40"/>
  <c r="P51" i="40"/>
  <c r="Q61" i="40"/>
  <c r="P61" i="40"/>
  <c r="N8" i="40"/>
  <c r="AF8" i="40"/>
  <c r="AG5" i="40" s="1"/>
  <c r="AE8" i="40"/>
  <c r="Q59" i="40"/>
  <c r="P59" i="40"/>
  <c r="Q12" i="40"/>
  <c r="P12" i="40"/>
  <c r="Q43" i="40"/>
  <c r="P43" i="40"/>
  <c r="N48" i="40"/>
  <c r="AF48" i="40"/>
  <c r="AG41" i="40" s="1"/>
  <c r="AE48" i="40"/>
  <c r="N29" i="40"/>
  <c r="AF29" i="40"/>
  <c r="AG23" i="40" s="1"/>
  <c r="AE29" i="40"/>
  <c r="Q36" i="40"/>
  <c r="P36" i="40"/>
  <c r="Q34" i="40"/>
  <c r="P34" i="40"/>
  <c r="Q16" i="40"/>
  <c r="P16" i="40"/>
  <c r="Q32" i="40"/>
  <c r="P32" i="40"/>
  <c r="P33" i="40"/>
  <c r="Q33" i="40"/>
  <c r="Q53" i="40"/>
  <c r="P53" i="40"/>
  <c r="N11" i="40"/>
  <c r="AF11" i="40"/>
  <c r="AG9" i="40" s="1"/>
  <c r="AE11" i="40"/>
  <c r="Q39" i="40"/>
  <c r="P39" i="40"/>
  <c r="Q46" i="40"/>
  <c r="P46" i="40"/>
  <c r="P10" i="40"/>
  <c r="Q10" i="40"/>
  <c r="Q49" i="40"/>
  <c r="P49" i="40"/>
  <c r="Q31" i="40"/>
  <c r="P31" i="40"/>
  <c r="N15" i="40"/>
  <c r="AF15" i="40"/>
  <c r="AG12" i="40" s="1"/>
  <c r="AE15" i="40"/>
  <c r="N22" i="40"/>
  <c r="AF22" i="40"/>
  <c r="AG16" i="40" s="1"/>
  <c r="AE22" i="40"/>
  <c r="Q17" i="40"/>
  <c r="P17" i="40"/>
  <c r="Q54" i="40"/>
  <c r="P54" i="40"/>
  <c r="Q23" i="40"/>
  <c r="P23" i="40"/>
  <c r="Q13" i="40"/>
  <c r="P13" i="40"/>
  <c r="Q62" i="38"/>
  <c r="P62" i="38"/>
  <c r="G6" i="37"/>
  <c r="E6" i="37"/>
  <c r="F6" i="37"/>
  <c r="Q17" i="38"/>
  <c r="P17" i="38"/>
  <c r="M48" i="38"/>
  <c r="AF41" i="38"/>
  <c r="AE41" i="38"/>
  <c r="Q58" i="38"/>
  <c r="P58" i="38"/>
  <c r="AE36" i="38"/>
  <c r="AF36" i="38"/>
  <c r="M40" i="38"/>
  <c r="AE44" i="38"/>
  <c r="F1" i="38"/>
  <c r="AE9" i="38"/>
  <c r="N12" i="38"/>
  <c r="AF12" i="38"/>
  <c r="AE12" i="38"/>
  <c r="M29" i="38"/>
  <c r="AE34" i="38"/>
  <c r="AF34" i="38"/>
  <c r="P39" i="38"/>
  <c r="Q42" i="38"/>
  <c r="P42" i="38"/>
  <c r="AF6" i="38"/>
  <c r="AE6" i="38"/>
  <c r="N6" i="38"/>
  <c r="N27" i="38"/>
  <c r="AF27" i="38"/>
  <c r="AE27" i="38"/>
  <c r="Q30" i="38"/>
  <c r="P30" i="38"/>
  <c r="AE15" i="38"/>
  <c r="AF15" i="38"/>
  <c r="AG12" i="38" s="1"/>
  <c r="AF44" i="38"/>
  <c r="M11" i="38"/>
  <c r="N9" i="38"/>
  <c r="N20" i="38"/>
  <c r="AF20" i="38"/>
  <c r="AF53" i="38"/>
  <c r="AF31" i="38"/>
  <c r="AE31" i="38"/>
  <c r="M35" i="38"/>
  <c r="N31" i="38"/>
  <c r="Y2" i="38"/>
  <c r="K6" i="37" s="1"/>
  <c r="AF13" i="38"/>
  <c r="AE13" i="38"/>
  <c r="AF26" i="38"/>
  <c r="AE26" i="38"/>
  <c r="N26" i="38"/>
  <c r="AE51" i="38"/>
  <c r="AF57" i="38"/>
  <c r="AE57" i="38"/>
  <c r="AD2" i="38"/>
  <c r="N6" i="37" s="1"/>
  <c r="AE10" i="38"/>
  <c r="AF10" i="38"/>
  <c r="N10" i="38"/>
  <c r="AE18" i="38"/>
  <c r="AF43" i="38"/>
  <c r="N43" i="38"/>
  <c r="AE43" i="38"/>
  <c r="N60" i="38"/>
  <c r="AF60" i="38"/>
  <c r="P23" i="38"/>
  <c r="Q23" i="38"/>
  <c r="N36" i="38"/>
  <c r="AE53" i="38"/>
  <c r="AF45" i="38"/>
  <c r="AE45" i="38"/>
  <c r="N45" i="38"/>
  <c r="Z2" i="38"/>
  <c r="L6" i="37" s="1"/>
  <c r="N13" i="38"/>
  <c r="M22" i="38"/>
  <c r="AF18" i="38"/>
  <c r="AF24" i="38"/>
  <c r="N24" i="38"/>
  <c r="AE24" i="38"/>
  <c r="AF52" i="38"/>
  <c r="AE52" i="38"/>
  <c r="AE19" i="38"/>
  <c r="AF19" i="38"/>
  <c r="N19" i="38"/>
  <c r="Q41" i="38"/>
  <c r="AF50" i="38"/>
  <c r="AE50" i="38"/>
  <c r="N50" i="38"/>
  <c r="AF17" i="38"/>
  <c r="AE17" i="38"/>
  <c r="AE25" i="38"/>
  <c r="AF59" i="38"/>
  <c r="N59" i="38"/>
  <c r="AE59" i="38"/>
  <c r="Q51" i="38"/>
  <c r="P51" i="38"/>
  <c r="P34" i="38"/>
  <c r="AF51" i="38"/>
  <c r="N57" i="38"/>
  <c r="M8" i="38"/>
  <c r="N37" i="38"/>
  <c r="AF37" i="38"/>
  <c r="N52" i="38"/>
  <c r="N15" i="38"/>
  <c r="AF25" i="38"/>
  <c r="AF39" i="38"/>
  <c r="AE39" i="38"/>
  <c r="AF62" i="38"/>
  <c r="AE62" i="38"/>
  <c r="AF54" i="38"/>
  <c r="AE54" i="38"/>
  <c r="N54" i="38"/>
  <c r="N32" i="38"/>
  <c r="AF32" i="38"/>
  <c r="N46" i="38"/>
  <c r="AF46" i="38"/>
  <c r="AE60" i="38"/>
  <c r="N33" i="38"/>
  <c r="N38" i="38"/>
  <c r="N47" i="38"/>
  <c r="N56" i="38"/>
  <c r="N61" i="38"/>
  <c r="M63" i="38"/>
  <c r="N14" i="38"/>
  <c r="N28" i="38"/>
  <c r="N49" i="38"/>
  <c r="AE5" i="38"/>
  <c r="AE21" i="38"/>
  <c r="AE38" i="38"/>
  <c r="AE47" i="38"/>
  <c r="AE61" i="38"/>
  <c r="N5" i="38"/>
  <c r="N21" i="38"/>
  <c r="N7" i="38"/>
  <c r="N16" i="38"/>
  <c r="M55" i="38"/>
  <c r="AE14" i="38"/>
  <c r="AE28" i="38"/>
  <c r="AE33" i="38"/>
  <c r="AE49" i="38"/>
  <c r="AE56" i="38"/>
  <c r="AD69" i="36"/>
  <c r="Z69" i="36"/>
  <c r="Y69" i="36"/>
  <c r="M18" i="35" s="1"/>
  <c r="O69" i="36"/>
  <c r="K69" i="36"/>
  <c r="V68" i="36"/>
  <c r="U68" i="36"/>
  <c r="O68" i="36"/>
  <c r="M68" i="36"/>
  <c r="AE68" i="36" s="1"/>
  <c r="K68" i="36"/>
  <c r="G68" i="36"/>
  <c r="AF67" i="36"/>
  <c r="V67" i="36"/>
  <c r="U67" i="36"/>
  <c r="O67" i="36"/>
  <c r="M67" i="36"/>
  <c r="N67" i="36" s="1"/>
  <c r="K67" i="36"/>
  <c r="G67" i="36"/>
  <c r="AE66" i="36"/>
  <c r="V66" i="36"/>
  <c r="U66" i="36"/>
  <c r="O66" i="36"/>
  <c r="N66" i="36"/>
  <c r="Q66" i="36" s="1"/>
  <c r="M66" i="36"/>
  <c r="AF66" i="36" s="1"/>
  <c r="K66" i="36"/>
  <c r="G66" i="36"/>
  <c r="AF65" i="36"/>
  <c r="X65" i="36"/>
  <c r="W65" i="36"/>
  <c r="V65" i="36"/>
  <c r="U65" i="36"/>
  <c r="O65" i="36"/>
  <c r="M65" i="36"/>
  <c r="N65" i="36" s="1"/>
  <c r="K65" i="36"/>
  <c r="G65" i="36"/>
  <c r="AE64" i="36"/>
  <c r="V64" i="36"/>
  <c r="U64" i="36"/>
  <c r="O64" i="36"/>
  <c r="N64" i="36"/>
  <c r="Q64" i="36" s="1"/>
  <c r="M64" i="36"/>
  <c r="AF64" i="36" s="1"/>
  <c r="K64" i="36"/>
  <c r="G64" i="36"/>
  <c r="V63" i="36"/>
  <c r="M63" i="36" s="1"/>
  <c r="AF63" i="36" s="1"/>
  <c r="U63" i="36"/>
  <c r="O63" i="36"/>
  <c r="K63" i="36"/>
  <c r="G63" i="36"/>
  <c r="AE62" i="36"/>
  <c r="V62" i="36"/>
  <c r="M62" i="36" s="1"/>
  <c r="U62" i="36"/>
  <c r="O62" i="36"/>
  <c r="K62" i="36"/>
  <c r="G62" i="36"/>
  <c r="AF61" i="36"/>
  <c r="AE61" i="36"/>
  <c r="X61" i="36"/>
  <c r="W61" i="36"/>
  <c r="V61" i="36"/>
  <c r="O61" i="36"/>
  <c r="N61" i="36"/>
  <c r="Q61" i="36" s="1"/>
  <c r="M61" i="36"/>
  <c r="K61" i="36"/>
  <c r="G61" i="36"/>
  <c r="AD60" i="36"/>
  <c r="J21" i="35" s="1"/>
  <c r="Z60" i="36"/>
  <c r="Y60" i="36"/>
  <c r="O60" i="36"/>
  <c r="K60" i="36"/>
  <c r="AE59" i="36"/>
  <c r="V59" i="36"/>
  <c r="M59" i="36" s="1"/>
  <c r="U59" i="36"/>
  <c r="O59" i="36"/>
  <c r="K59" i="36"/>
  <c r="G59" i="36"/>
  <c r="V58" i="36"/>
  <c r="M58" i="36" s="1"/>
  <c r="U58" i="36"/>
  <c r="O58" i="36"/>
  <c r="K58" i="36"/>
  <c r="G58" i="36"/>
  <c r="V57" i="36"/>
  <c r="M57" i="36" s="1"/>
  <c r="U57" i="36"/>
  <c r="O57" i="36"/>
  <c r="K57" i="36"/>
  <c r="G57" i="36"/>
  <c r="V56" i="36"/>
  <c r="M56" i="36" s="1"/>
  <c r="U56" i="36"/>
  <c r="O56" i="36"/>
  <c r="K56" i="36"/>
  <c r="G56" i="36"/>
  <c r="V55" i="36"/>
  <c r="M55" i="36" s="1"/>
  <c r="U55" i="36"/>
  <c r="P55" i="36"/>
  <c r="O55" i="36"/>
  <c r="N55" i="36"/>
  <c r="Q55" i="36" s="1"/>
  <c r="K55" i="36"/>
  <c r="G55" i="36"/>
  <c r="V54" i="36"/>
  <c r="M54" i="36" s="1"/>
  <c r="O54" i="36"/>
  <c r="N54" i="36"/>
  <c r="Q54" i="36" s="1"/>
  <c r="K54" i="36"/>
  <c r="G54" i="36"/>
  <c r="AD53" i="36"/>
  <c r="Z53" i="36"/>
  <c r="I19" i="35" s="1"/>
  <c r="Y53" i="36"/>
  <c r="I18" i="35" s="1"/>
  <c r="O53" i="36"/>
  <c r="K53" i="36"/>
  <c r="V52" i="36"/>
  <c r="U52" i="36"/>
  <c r="O52" i="36"/>
  <c r="N52" i="36"/>
  <c r="M52" i="36"/>
  <c r="AF52" i="36" s="1"/>
  <c r="K52" i="36"/>
  <c r="G52" i="36"/>
  <c r="V51" i="36"/>
  <c r="U51" i="36"/>
  <c r="O51" i="36"/>
  <c r="M51" i="36"/>
  <c r="K51" i="36"/>
  <c r="G51" i="36"/>
  <c r="V50" i="36"/>
  <c r="U50" i="36"/>
  <c r="O50" i="36"/>
  <c r="M50" i="36"/>
  <c r="AE50" i="36" s="1"/>
  <c r="K50" i="36"/>
  <c r="G50" i="36"/>
  <c r="X49" i="36"/>
  <c r="W49" i="36"/>
  <c r="V49" i="36"/>
  <c r="U49" i="36"/>
  <c r="O49" i="36"/>
  <c r="M49" i="36"/>
  <c r="K49" i="36"/>
  <c r="G49" i="36"/>
  <c r="V48" i="36"/>
  <c r="U48" i="36"/>
  <c r="O48" i="36"/>
  <c r="M48" i="36"/>
  <c r="AE48" i="36" s="1"/>
  <c r="K48" i="36"/>
  <c r="G48" i="36"/>
  <c r="AF47" i="36"/>
  <c r="V47" i="36"/>
  <c r="U47" i="36"/>
  <c r="O47" i="36"/>
  <c r="M47" i="36"/>
  <c r="N47" i="36" s="1"/>
  <c r="K47" i="36"/>
  <c r="G47" i="36"/>
  <c r="AE46" i="36"/>
  <c r="V46" i="36"/>
  <c r="U46" i="36"/>
  <c r="O46" i="36"/>
  <c r="N46" i="36"/>
  <c r="Q46" i="36" s="1"/>
  <c r="M46" i="36"/>
  <c r="AF46" i="36" s="1"/>
  <c r="K46" i="36"/>
  <c r="G46" i="36"/>
  <c r="AE45" i="36"/>
  <c r="V45" i="36"/>
  <c r="O45" i="36"/>
  <c r="N45" i="36"/>
  <c r="Q45" i="36" s="1"/>
  <c r="M45" i="36"/>
  <c r="AF45" i="36" s="1"/>
  <c r="K45" i="36"/>
  <c r="G45" i="36"/>
  <c r="AD44" i="36"/>
  <c r="Z44" i="36"/>
  <c r="Y44" i="36"/>
  <c r="O44" i="36"/>
  <c r="K44" i="36"/>
  <c r="AE43" i="36"/>
  <c r="V43" i="36"/>
  <c r="M43" i="36" s="1"/>
  <c r="U43" i="36"/>
  <c r="O43" i="36"/>
  <c r="K43" i="36"/>
  <c r="G43" i="36"/>
  <c r="V42" i="36"/>
  <c r="M42" i="36" s="1"/>
  <c r="U42" i="36"/>
  <c r="O42" i="36"/>
  <c r="K42" i="36"/>
  <c r="G42" i="36"/>
  <c r="V41" i="36"/>
  <c r="M41" i="36" s="1"/>
  <c r="U41" i="36"/>
  <c r="O41" i="36"/>
  <c r="K41" i="36"/>
  <c r="G41" i="36"/>
  <c r="X40" i="36"/>
  <c r="W40" i="36"/>
  <c r="V40" i="36"/>
  <c r="M40" i="36" s="1"/>
  <c r="O40" i="36"/>
  <c r="K40" i="36"/>
  <c r="G40" i="36"/>
  <c r="AD39" i="36"/>
  <c r="L21" i="35" s="1"/>
  <c r="Z39" i="36"/>
  <c r="L19" i="35" s="1"/>
  <c r="Y39" i="36"/>
  <c r="O39" i="36"/>
  <c r="K39" i="36"/>
  <c r="V38" i="36"/>
  <c r="M38" i="36" s="1"/>
  <c r="U38" i="36"/>
  <c r="O38" i="36"/>
  <c r="K38" i="36"/>
  <c r="G38" i="36"/>
  <c r="V37" i="36"/>
  <c r="M37" i="36" s="1"/>
  <c r="U37" i="36"/>
  <c r="O37" i="36"/>
  <c r="K37" i="36"/>
  <c r="G37" i="36"/>
  <c r="X36" i="36"/>
  <c r="W36" i="36"/>
  <c r="V36" i="36"/>
  <c r="M36" i="36" s="1"/>
  <c r="U36" i="36"/>
  <c r="O36" i="36"/>
  <c r="K36" i="36"/>
  <c r="G36" i="36"/>
  <c r="V35" i="36"/>
  <c r="M35" i="36" s="1"/>
  <c r="U35" i="36"/>
  <c r="O35" i="36"/>
  <c r="K35" i="36"/>
  <c r="G35" i="36"/>
  <c r="V34" i="36"/>
  <c r="M34" i="36" s="1"/>
  <c r="U34" i="36"/>
  <c r="O34" i="36"/>
  <c r="N34" i="36"/>
  <c r="Q34" i="36" s="1"/>
  <c r="K34" i="36"/>
  <c r="G34" i="36"/>
  <c r="X33" i="36"/>
  <c r="W33" i="36"/>
  <c r="V33" i="36"/>
  <c r="M33" i="36" s="1"/>
  <c r="O33" i="36"/>
  <c r="K33" i="36"/>
  <c r="G33" i="36"/>
  <c r="AD32" i="36"/>
  <c r="K21" i="35" s="1"/>
  <c r="Z32" i="36"/>
  <c r="K19" i="35" s="1"/>
  <c r="Y32" i="36"/>
  <c r="K18" i="35" s="1"/>
  <c r="O32" i="36"/>
  <c r="K32" i="36"/>
  <c r="V31" i="36"/>
  <c r="M31" i="36" s="1"/>
  <c r="U31" i="36"/>
  <c r="O31" i="36"/>
  <c r="N31" i="36"/>
  <c r="Q31" i="36" s="1"/>
  <c r="K31" i="36"/>
  <c r="G31" i="36"/>
  <c r="V30" i="36"/>
  <c r="U30" i="36"/>
  <c r="O30" i="36"/>
  <c r="M30" i="36"/>
  <c r="K30" i="36"/>
  <c r="G30" i="36"/>
  <c r="V29" i="36"/>
  <c r="U29" i="36"/>
  <c r="O29" i="36"/>
  <c r="N29" i="36"/>
  <c r="M29" i="36"/>
  <c r="AF29" i="36" s="1"/>
  <c r="K29" i="36"/>
  <c r="G29" i="36"/>
  <c r="X28" i="36"/>
  <c r="W28" i="36"/>
  <c r="V28" i="36"/>
  <c r="U28" i="36"/>
  <c r="O28" i="36"/>
  <c r="M28" i="36"/>
  <c r="K28" i="36"/>
  <c r="G28" i="36"/>
  <c r="V27" i="36"/>
  <c r="U27" i="36"/>
  <c r="O27" i="36"/>
  <c r="N27" i="36"/>
  <c r="M27" i="36"/>
  <c r="AF27" i="36" s="1"/>
  <c r="K27" i="36"/>
  <c r="G27" i="36"/>
  <c r="V26" i="36"/>
  <c r="U26" i="36"/>
  <c r="O26" i="36"/>
  <c r="M26" i="36"/>
  <c r="K26" i="36"/>
  <c r="G26" i="36"/>
  <c r="V25" i="36"/>
  <c r="U25" i="36"/>
  <c r="O25" i="36"/>
  <c r="M25" i="36"/>
  <c r="AE25" i="36" s="1"/>
  <c r="K25" i="36"/>
  <c r="G25" i="36"/>
  <c r="X24" i="36"/>
  <c r="W24" i="36"/>
  <c r="V24" i="36"/>
  <c r="O24" i="36"/>
  <c r="N24" i="36"/>
  <c r="M24" i="36"/>
  <c r="AE24" i="36" s="1"/>
  <c r="K24" i="36"/>
  <c r="G24" i="36"/>
  <c r="AD23" i="36"/>
  <c r="Z23" i="36"/>
  <c r="Y23" i="36"/>
  <c r="G18" i="35" s="1"/>
  <c r="O23" i="36"/>
  <c r="K23" i="36"/>
  <c r="G13" i="35" s="1"/>
  <c r="V22" i="36"/>
  <c r="U22" i="36"/>
  <c r="O22" i="36"/>
  <c r="M22" i="36"/>
  <c r="AE22" i="36" s="1"/>
  <c r="K22" i="36"/>
  <c r="G22" i="36"/>
  <c r="AF21" i="36"/>
  <c r="V21" i="36"/>
  <c r="U21" i="36"/>
  <c r="O21" i="36"/>
  <c r="M21" i="36"/>
  <c r="N21" i="36" s="1"/>
  <c r="K21" i="36"/>
  <c r="G21" i="36"/>
  <c r="AE20" i="36"/>
  <c r="V20" i="36"/>
  <c r="U20" i="36"/>
  <c r="O20" i="36"/>
  <c r="N20" i="36"/>
  <c r="Q20" i="36" s="1"/>
  <c r="M20" i="36"/>
  <c r="AF20" i="36" s="1"/>
  <c r="K20" i="36"/>
  <c r="G20" i="36"/>
  <c r="AF19" i="36"/>
  <c r="V19" i="36"/>
  <c r="M19" i="36" s="1"/>
  <c r="U19" i="36"/>
  <c r="O19" i="36"/>
  <c r="K19" i="36"/>
  <c r="G19" i="36"/>
  <c r="V18" i="36"/>
  <c r="M18" i="36" s="1"/>
  <c r="AE18" i="36" s="1"/>
  <c r="U18" i="36"/>
  <c r="O18" i="36"/>
  <c r="K18" i="36"/>
  <c r="G18" i="36"/>
  <c r="AE17" i="36"/>
  <c r="V17" i="36"/>
  <c r="M17" i="36" s="1"/>
  <c r="O17" i="36"/>
  <c r="K17" i="36"/>
  <c r="G17" i="36"/>
  <c r="AD16" i="36"/>
  <c r="Z16" i="36"/>
  <c r="Y16" i="36"/>
  <c r="F18" i="35" s="1"/>
  <c r="O16" i="36"/>
  <c r="K16" i="36"/>
  <c r="V15" i="36"/>
  <c r="M15" i="36" s="1"/>
  <c r="U15" i="36"/>
  <c r="O15" i="36"/>
  <c r="K15" i="36"/>
  <c r="G15" i="36"/>
  <c r="V14" i="36"/>
  <c r="M14" i="36" s="1"/>
  <c r="U14" i="36"/>
  <c r="O14" i="36"/>
  <c r="K14" i="36"/>
  <c r="G14" i="36"/>
  <c r="V13" i="36"/>
  <c r="M13" i="36" s="1"/>
  <c r="O13" i="36"/>
  <c r="K13" i="36"/>
  <c r="G13" i="36"/>
  <c r="AD12" i="36"/>
  <c r="E21" i="35" s="1"/>
  <c r="Z12" i="36"/>
  <c r="Y12" i="36"/>
  <c r="E18" i="35" s="1"/>
  <c r="O12" i="36"/>
  <c r="K12" i="36"/>
  <c r="V11" i="36"/>
  <c r="U11" i="36"/>
  <c r="O11" i="36"/>
  <c r="M11" i="36"/>
  <c r="K11" i="36"/>
  <c r="G11" i="36"/>
  <c r="X10" i="36"/>
  <c r="W10" i="36"/>
  <c r="V10" i="36"/>
  <c r="M10" i="36" s="1"/>
  <c r="U10" i="36"/>
  <c r="O10" i="36"/>
  <c r="K10" i="36"/>
  <c r="G10" i="36"/>
  <c r="V9" i="36"/>
  <c r="M9" i="36" s="1"/>
  <c r="O9" i="36"/>
  <c r="N9" i="36"/>
  <c r="P9" i="36" s="1"/>
  <c r="K9" i="36"/>
  <c r="G9" i="36"/>
  <c r="AD8" i="36"/>
  <c r="D21" i="35" s="1"/>
  <c r="Z8" i="36"/>
  <c r="Z2" i="36" s="1"/>
  <c r="Y8" i="36"/>
  <c r="O8" i="36"/>
  <c r="K8" i="36"/>
  <c r="V7" i="36"/>
  <c r="U7" i="36"/>
  <c r="O7" i="36"/>
  <c r="N7" i="36"/>
  <c r="M7" i="36"/>
  <c r="AF7" i="36" s="1"/>
  <c r="K7" i="36"/>
  <c r="G7" i="36"/>
  <c r="V6" i="36"/>
  <c r="U6" i="36"/>
  <c r="O6" i="36"/>
  <c r="M6" i="36"/>
  <c r="N6" i="36" s="1"/>
  <c r="K6" i="36"/>
  <c r="G6" i="36"/>
  <c r="V5" i="36"/>
  <c r="O5" i="36"/>
  <c r="N5" i="36"/>
  <c r="M5" i="36"/>
  <c r="K5" i="36"/>
  <c r="G5" i="36"/>
  <c r="AC2" i="36"/>
  <c r="H2" i="36"/>
  <c r="H1" i="36"/>
  <c r="M22" i="35"/>
  <c r="L22" i="35"/>
  <c r="K22" i="35"/>
  <c r="J22" i="35"/>
  <c r="I22" i="35"/>
  <c r="H22" i="35"/>
  <c r="G22" i="35"/>
  <c r="F22" i="35"/>
  <c r="E22" i="35"/>
  <c r="D22" i="35"/>
  <c r="M21" i="35"/>
  <c r="I21" i="35"/>
  <c r="H21" i="35"/>
  <c r="G21" i="35"/>
  <c r="F21" i="35"/>
  <c r="M20" i="35"/>
  <c r="L20" i="35"/>
  <c r="K20" i="35"/>
  <c r="J20" i="35"/>
  <c r="I20" i="35"/>
  <c r="H20" i="35"/>
  <c r="G20" i="35"/>
  <c r="F20" i="35"/>
  <c r="E20" i="35"/>
  <c r="D20" i="35"/>
  <c r="M19" i="35"/>
  <c r="J19" i="35"/>
  <c r="H19" i="35"/>
  <c r="G19" i="35"/>
  <c r="F19" i="35"/>
  <c r="E19" i="35"/>
  <c r="D19" i="35"/>
  <c r="L18" i="35"/>
  <c r="J18" i="35"/>
  <c r="H18" i="35"/>
  <c r="D18" i="35"/>
  <c r="M17" i="35"/>
  <c r="L17" i="35"/>
  <c r="K17" i="35"/>
  <c r="J17" i="35"/>
  <c r="I17" i="35"/>
  <c r="H17" i="35"/>
  <c r="G17" i="35"/>
  <c r="F17" i="35"/>
  <c r="E17" i="35"/>
  <c r="D17" i="35"/>
  <c r="M16" i="35"/>
  <c r="L16" i="35"/>
  <c r="K16" i="35"/>
  <c r="J16" i="35"/>
  <c r="I16" i="35"/>
  <c r="H16" i="35"/>
  <c r="G16" i="35"/>
  <c r="F16" i="35"/>
  <c r="E16" i="35"/>
  <c r="D16" i="35"/>
  <c r="M13" i="35"/>
  <c r="L13" i="35"/>
  <c r="K13" i="35"/>
  <c r="I6" i="35" s="1"/>
  <c r="J13" i="35"/>
  <c r="I13" i="35"/>
  <c r="H13" i="35"/>
  <c r="F13" i="35"/>
  <c r="E13" i="35"/>
  <c r="D13" i="35"/>
  <c r="G6" i="35" s="1"/>
  <c r="M6" i="35"/>
  <c r="L6" i="35"/>
  <c r="I3" i="35"/>
  <c r="F3" i="35"/>
  <c r="C3" i="35"/>
  <c r="E8" i="45" l="1"/>
  <c r="K15" i="41"/>
  <c r="I8" i="41" s="1"/>
  <c r="I7" i="41"/>
  <c r="D15" i="41"/>
  <c r="G7" i="41"/>
  <c r="F7" i="41"/>
  <c r="E7" i="41"/>
  <c r="Q48" i="40"/>
  <c r="R41" i="40" s="1"/>
  <c r="P48" i="40"/>
  <c r="I14" i="39"/>
  <c r="I15" i="39" s="1"/>
  <c r="Q55" i="40"/>
  <c r="R49" i="40" s="1"/>
  <c r="P55" i="40"/>
  <c r="J14" i="39"/>
  <c r="J15" i="39" s="1"/>
  <c r="F14" i="39"/>
  <c r="F15" i="39" s="1"/>
  <c r="Q15" i="40"/>
  <c r="R12" i="40" s="1"/>
  <c r="P15" i="40"/>
  <c r="Q11" i="40"/>
  <c r="R9" i="40" s="1"/>
  <c r="P11" i="40"/>
  <c r="E14" i="39"/>
  <c r="E15" i="39" s="1"/>
  <c r="P29" i="40"/>
  <c r="K14" i="39"/>
  <c r="Q29" i="40"/>
  <c r="R23" i="40" s="1"/>
  <c r="D14" i="39"/>
  <c r="D2" i="40"/>
  <c r="Q8" i="40"/>
  <c r="R5" i="40" s="1"/>
  <c r="P8" i="40"/>
  <c r="Q62" i="40"/>
  <c r="R56" i="40" s="1"/>
  <c r="P62" i="40"/>
  <c r="M14" i="39"/>
  <c r="M15" i="39" s="1"/>
  <c r="H14" i="39"/>
  <c r="H15" i="39" s="1"/>
  <c r="P40" i="40"/>
  <c r="Q40" i="40"/>
  <c r="R36" i="40" s="1"/>
  <c r="G14" i="39"/>
  <c r="G15" i="39" s="1"/>
  <c r="Q22" i="40"/>
  <c r="R16" i="40" s="1"/>
  <c r="P22" i="40"/>
  <c r="Q35" i="40"/>
  <c r="R30" i="40" s="1"/>
  <c r="P35" i="40"/>
  <c r="L14" i="39"/>
  <c r="L15" i="39" s="1"/>
  <c r="P57" i="38"/>
  <c r="Q57" i="38"/>
  <c r="P12" i="38"/>
  <c r="Q12" i="38"/>
  <c r="N55" i="38"/>
  <c r="AF55" i="38"/>
  <c r="AG49" i="38" s="1"/>
  <c r="AE55" i="38"/>
  <c r="Q16" i="38"/>
  <c r="P16" i="38"/>
  <c r="Q7" i="38"/>
  <c r="P7" i="38"/>
  <c r="Q32" i="38"/>
  <c r="P32" i="38"/>
  <c r="Q45" i="38"/>
  <c r="P45" i="38"/>
  <c r="Q49" i="38"/>
  <c r="P49" i="38"/>
  <c r="P31" i="38"/>
  <c r="Q31" i="38"/>
  <c r="Q28" i="38"/>
  <c r="P28" i="38"/>
  <c r="N35" i="38"/>
  <c r="AF35" i="38"/>
  <c r="AG30" i="38" s="1"/>
  <c r="AE35" i="38"/>
  <c r="Q14" i="38"/>
  <c r="P14" i="38"/>
  <c r="F14" i="37"/>
  <c r="F15" i="37" s="1"/>
  <c r="Q15" i="38"/>
  <c r="R12" i="38" s="1"/>
  <c r="P15" i="38"/>
  <c r="P19" i="38"/>
  <c r="Q19" i="38"/>
  <c r="P60" i="38"/>
  <c r="Q60" i="38"/>
  <c r="Q10" i="38"/>
  <c r="P10" i="38"/>
  <c r="Q24" i="38"/>
  <c r="P24" i="38"/>
  <c r="Q59" i="38"/>
  <c r="P59" i="38"/>
  <c r="Q54" i="38"/>
  <c r="P54" i="38"/>
  <c r="Q6" i="38"/>
  <c r="P6" i="38"/>
  <c r="AF48" i="38"/>
  <c r="AG41" i="38" s="1"/>
  <c r="AE48" i="38"/>
  <c r="N48" i="38"/>
  <c r="AF63" i="38"/>
  <c r="AG56" i="38" s="1"/>
  <c r="AE63" i="38"/>
  <c r="N63" i="38"/>
  <c r="Q52" i="38"/>
  <c r="P52" i="38"/>
  <c r="Q33" i="38"/>
  <c r="P33" i="38"/>
  <c r="I3" i="37"/>
  <c r="F2" i="38"/>
  <c r="Q46" i="38"/>
  <c r="P46" i="38"/>
  <c r="AF40" i="38"/>
  <c r="AG36" i="38" s="1"/>
  <c r="AE40" i="38"/>
  <c r="N40" i="38"/>
  <c r="Q21" i="38"/>
  <c r="P21" i="38"/>
  <c r="Q27" i="38"/>
  <c r="P27" i="38"/>
  <c r="Q36" i="38"/>
  <c r="P36" i="38"/>
  <c r="Q61" i="38"/>
  <c r="P61" i="38"/>
  <c r="Q43" i="38"/>
  <c r="P43" i="38"/>
  <c r="Q38" i="38"/>
  <c r="P38" i="38"/>
  <c r="Q9" i="38"/>
  <c r="P9" i="38"/>
  <c r="N11" i="38"/>
  <c r="AF11" i="38"/>
  <c r="AG9" i="38" s="1"/>
  <c r="AE11" i="38"/>
  <c r="AF22" i="38"/>
  <c r="AG16" i="38" s="1"/>
  <c r="AE22" i="38"/>
  <c r="N22" i="38"/>
  <c r="Q13" i="38"/>
  <c r="P13" i="38"/>
  <c r="Q5" i="38"/>
  <c r="P5" i="38"/>
  <c r="P26" i="38"/>
  <c r="Q26" i="38"/>
  <c r="P50" i="38"/>
  <c r="Q50" i="38"/>
  <c r="Q56" i="38"/>
  <c r="P56" i="38"/>
  <c r="Q37" i="38"/>
  <c r="P37" i="38"/>
  <c r="AE29" i="38"/>
  <c r="AF29" i="38"/>
  <c r="AG23" i="38" s="1"/>
  <c r="N29" i="38"/>
  <c r="Q47" i="38"/>
  <c r="P47" i="38"/>
  <c r="AE8" i="38"/>
  <c r="AF8" i="38"/>
  <c r="AG5" i="38" s="1"/>
  <c r="N8" i="38"/>
  <c r="Q20" i="38"/>
  <c r="P20" i="38"/>
  <c r="Q6" i="36"/>
  <c r="P6" i="36"/>
  <c r="Q47" i="36"/>
  <c r="P47" i="36"/>
  <c r="Q9" i="36"/>
  <c r="AF14" i="36"/>
  <c r="AE14" i="36"/>
  <c r="N14" i="36"/>
  <c r="Q24" i="36"/>
  <c r="P24" i="36"/>
  <c r="Q29" i="36"/>
  <c r="P29" i="36"/>
  <c r="P54" i="36"/>
  <c r="AF6" i="36"/>
  <c r="AE6" i="36"/>
  <c r="M12" i="36"/>
  <c r="AF9" i="36"/>
  <c r="AE9" i="36"/>
  <c r="AF34" i="36"/>
  <c r="AE34" i="36"/>
  <c r="N36" i="36"/>
  <c r="AF36" i="36"/>
  <c r="AE36" i="36"/>
  <c r="N40" i="36"/>
  <c r="M44" i="36"/>
  <c r="AF40" i="36"/>
  <c r="AE40" i="36"/>
  <c r="AF54" i="36"/>
  <c r="AE54" i="36"/>
  <c r="M60" i="36"/>
  <c r="P34" i="36"/>
  <c r="N49" i="36"/>
  <c r="AE49" i="36"/>
  <c r="N63" i="36"/>
  <c r="AE63" i="36"/>
  <c r="Q65" i="36"/>
  <c r="P65" i="36"/>
  <c r="E6" i="35"/>
  <c r="F6" i="35"/>
  <c r="AF11" i="36"/>
  <c r="AE11" i="36"/>
  <c r="N11" i="36"/>
  <c r="AF26" i="36"/>
  <c r="AE26" i="36"/>
  <c r="N26" i="36"/>
  <c r="P31" i="36"/>
  <c r="AF51" i="36"/>
  <c r="AE51" i="36"/>
  <c r="N51" i="36"/>
  <c r="AF56" i="36"/>
  <c r="AE56" i="36"/>
  <c r="N56" i="36"/>
  <c r="N58" i="36"/>
  <c r="AF58" i="36"/>
  <c r="AE58" i="36"/>
  <c r="AF10" i="36"/>
  <c r="AE10" i="36"/>
  <c r="N18" i="36"/>
  <c r="AF18" i="36"/>
  <c r="AF28" i="36"/>
  <c r="AE28" i="36"/>
  <c r="N28" i="36"/>
  <c r="N38" i="36"/>
  <c r="AF38" i="36"/>
  <c r="AE38" i="36"/>
  <c r="N42" i="36"/>
  <c r="AF42" i="36"/>
  <c r="AE42" i="36"/>
  <c r="AF37" i="36"/>
  <c r="AE37" i="36"/>
  <c r="N37" i="36"/>
  <c r="N41" i="36"/>
  <c r="AF41" i="36"/>
  <c r="AE41" i="36"/>
  <c r="Q52" i="36"/>
  <c r="P52" i="36"/>
  <c r="Y2" i="36"/>
  <c r="K6" i="35" s="1"/>
  <c r="N10" i="36"/>
  <c r="N17" i="36"/>
  <c r="AF17" i="36"/>
  <c r="M23" i="36"/>
  <c r="N19" i="36"/>
  <c r="AE19" i="36"/>
  <c r="Q21" i="36"/>
  <c r="P21" i="36"/>
  <c r="AF31" i="36"/>
  <c r="AE31" i="36"/>
  <c r="N33" i="36"/>
  <c r="M39" i="36"/>
  <c r="AF33" i="36"/>
  <c r="AE33" i="36"/>
  <c r="Q67" i="36"/>
  <c r="P67" i="36"/>
  <c r="AF5" i="36"/>
  <c r="AE5" i="36"/>
  <c r="M8" i="36"/>
  <c r="AF49" i="36"/>
  <c r="M69" i="36"/>
  <c r="N62" i="36"/>
  <c r="AF62" i="36"/>
  <c r="Q5" i="36"/>
  <c r="P5" i="36"/>
  <c r="AF30" i="36"/>
  <c r="AE30" i="36"/>
  <c r="N30" i="36"/>
  <c r="Q27" i="36"/>
  <c r="P27" i="36"/>
  <c r="M16" i="36"/>
  <c r="AF13" i="36"/>
  <c r="AE13" i="36"/>
  <c r="N13" i="36"/>
  <c r="N15" i="36"/>
  <c r="AF15" i="36"/>
  <c r="AE15" i="36"/>
  <c r="Q7" i="36"/>
  <c r="P7" i="36"/>
  <c r="AF35" i="36"/>
  <c r="AE35" i="36"/>
  <c r="N35" i="36"/>
  <c r="N59" i="36"/>
  <c r="AF59" i="36"/>
  <c r="N43" i="36"/>
  <c r="AF43" i="36"/>
  <c r="AF55" i="36"/>
  <c r="AE55" i="36"/>
  <c r="N57" i="36"/>
  <c r="AF57" i="36"/>
  <c r="AE57" i="36"/>
  <c r="AD2" i="36"/>
  <c r="N6" i="35" s="1"/>
  <c r="AE21" i="36"/>
  <c r="AF22" i="36"/>
  <c r="AF24" i="36"/>
  <c r="AF25" i="36"/>
  <c r="AE47" i="36"/>
  <c r="AF48" i="36"/>
  <c r="AF50" i="36"/>
  <c r="M53" i="36"/>
  <c r="AE67" i="36"/>
  <c r="AF68" i="36"/>
  <c r="AE65" i="36"/>
  <c r="N22" i="36"/>
  <c r="N25" i="36"/>
  <c r="N48" i="36"/>
  <c r="N50" i="36"/>
  <c r="N68" i="36"/>
  <c r="AE7" i="36"/>
  <c r="P20" i="36"/>
  <c r="AE27" i="36"/>
  <c r="AE29" i="36"/>
  <c r="P45" i="36"/>
  <c r="P46" i="36"/>
  <c r="AE52" i="36"/>
  <c r="P61" i="36"/>
  <c r="P64" i="36"/>
  <c r="P66" i="36"/>
  <c r="M32" i="36"/>
  <c r="AD72" i="34"/>
  <c r="Z72" i="34"/>
  <c r="Y72" i="34"/>
  <c r="O72" i="34"/>
  <c r="K72" i="34"/>
  <c r="V71" i="34"/>
  <c r="U71" i="34"/>
  <c r="O71" i="34"/>
  <c r="M71" i="34"/>
  <c r="AE71" i="34" s="1"/>
  <c r="K71" i="34"/>
  <c r="G71" i="34"/>
  <c r="AF70" i="34"/>
  <c r="AE70" i="34"/>
  <c r="V70" i="34"/>
  <c r="U70" i="34"/>
  <c r="O70" i="34"/>
  <c r="N70" i="34"/>
  <c r="Q70" i="34" s="1"/>
  <c r="M70" i="34"/>
  <c r="K70" i="34"/>
  <c r="G70" i="34"/>
  <c r="V69" i="34"/>
  <c r="U69" i="34"/>
  <c r="O69" i="34"/>
  <c r="M69" i="34"/>
  <c r="N69" i="34" s="1"/>
  <c r="K69" i="34"/>
  <c r="G69" i="34"/>
  <c r="AF68" i="34"/>
  <c r="V68" i="34"/>
  <c r="U68" i="34"/>
  <c r="O68" i="34"/>
  <c r="N68" i="34"/>
  <c r="Q68" i="34" s="1"/>
  <c r="M68" i="34"/>
  <c r="AE68" i="34" s="1"/>
  <c r="K68" i="34"/>
  <c r="G68" i="34"/>
  <c r="X67" i="34"/>
  <c r="W67" i="34"/>
  <c r="V67" i="34"/>
  <c r="U67" i="34"/>
  <c r="O67" i="34"/>
  <c r="M67" i="34"/>
  <c r="N67" i="34" s="1"/>
  <c r="K67" i="34"/>
  <c r="G67" i="34"/>
  <c r="V66" i="34"/>
  <c r="U66" i="34"/>
  <c r="O66" i="34"/>
  <c r="N66" i="34"/>
  <c r="Q66" i="34" s="1"/>
  <c r="M66" i="34"/>
  <c r="AF66" i="34" s="1"/>
  <c r="K66" i="34"/>
  <c r="G66" i="34"/>
  <c r="V65" i="34"/>
  <c r="U65" i="34"/>
  <c r="O65" i="34"/>
  <c r="M65" i="34"/>
  <c r="N65" i="34" s="1"/>
  <c r="K65" i="34"/>
  <c r="G65" i="34"/>
  <c r="V64" i="34"/>
  <c r="M64" i="34" s="1"/>
  <c r="U64" i="34"/>
  <c r="O64" i="34"/>
  <c r="K64" i="34"/>
  <c r="G64" i="34"/>
  <c r="X63" i="34"/>
  <c r="W63" i="34"/>
  <c r="V63" i="34"/>
  <c r="O63" i="34"/>
  <c r="N63" i="34"/>
  <c r="Q63" i="34" s="1"/>
  <c r="M63" i="34"/>
  <c r="AF63" i="34" s="1"/>
  <c r="K63" i="34"/>
  <c r="G63" i="34"/>
  <c r="AD62" i="34"/>
  <c r="Z62" i="34"/>
  <c r="Y62" i="34"/>
  <c r="O62" i="34"/>
  <c r="K62" i="34"/>
  <c r="J13" i="33" s="1"/>
  <c r="V61" i="34"/>
  <c r="M61" i="34" s="1"/>
  <c r="U61" i="34"/>
  <c r="O61" i="34"/>
  <c r="K61" i="34"/>
  <c r="G61" i="34"/>
  <c r="V60" i="34"/>
  <c r="M60" i="34" s="1"/>
  <c r="U60" i="34"/>
  <c r="O60" i="34"/>
  <c r="K60" i="34"/>
  <c r="G60" i="34"/>
  <c r="V59" i="34"/>
  <c r="M59" i="34" s="1"/>
  <c r="U59" i="34"/>
  <c r="O59" i="34"/>
  <c r="K59" i="34"/>
  <c r="G59" i="34"/>
  <c r="V58" i="34"/>
  <c r="M58" i="34" s="1"/>
  <c r="U58" i="34"/>
  <c r="O58" i="34"/>
  <c r="K58" i="34"/>
  <c r="G58" i="34"/>
  <c r="V57" i="34"/>
  <c r="M57" i="34" s="1"/>
  <c r="U57" i="34"/>
  <c r="O57" i="34"/>
  <c r="K57" i="34"/>
  <c r="G57" i="34"/>
  <c r="V56" i="34"/>
  <c r="M56" i="34" s="1"/>
  <c r="O56" i="34"/>
  <c r="K56" i="34"/>
  <c r="G56" i="34"/>
  <c r="AD55" i="34"/>
  <c r="I21" i="33" s="1"/>
  <c r="Z55" i="34"/>
  <c r="Y55" i="34"/>
  <c r="I18" i="33" s="1"/>
  <c r="O55" i="34"/>
  <c r="K55" i="34"/>
  <c r="V54" i="34"/>
  <c r="U54" i="34"/>
  <c r="O54" i="34"/>
  <c r="M54" i="34"/>
  <c r="AF54" i="34" s="1"/>
  <c r="K54" i="34"/>
  <c r="G54" i="34"/>
  <c r="V53" i="34"/>
  <c r="U53" i="34"/>
  <c r="O53" i="34"/>
  <c r="M53" i="34"/>
  <c r="AE53" i="34" s="1"/>
  <c r="K53" i="34"/>
  <c r="G53" i="34"/>
  <c r="AF52" i="34"/>
  <c r="AE52" i="34"/>
  <c r="V52" i="34"/>
  <c r="U52" i="34"/>
  <c r="O52" i="34"/>
  <c r="N52" i="34"/>
  <c r="Q52" i="34" s="1"/>
  <c r="M52" i="34"/>
  <c r="K52" i="34"/>
  <c r="G52" i="34"/>
  <c r="V51" i="34"/>
  <c r="U51" i="34"/>
  <c r="O51" i="34"/>
  <c r="M51" i="34"/>
  <c r="N51" i="34" s="1"/>
  <c r="K51" i="34"/>
  <c r="G51" i="34"/>
  <c r="AF50" i="34"/>
  <c r="AE50" i="34"/>
  <c r="X50" i="34"/>
  <c r="W50" i="34"/>
  <c r="V50" i="34"/>
  <c r="U50" i="34"/>
  <c r="O50" i="34"/>
  <c r="N50" i="34"/>
  <c r="Q50" i="34" s="1"/>
  <c r="M50" i="34"/>
  <c r="K50" i="34"/>
  <c r="G50" i="34"/>
  <c r="V49" i="34"/>
  <c r="U49" i="34"/>
  <c r="O49" i="34"/>
  <c r="M49" i="34"/>
  <c r="N49" i="34" s="1"/>
  <c r="K49" i="34"/>
  <c r="G49" i="34"/>
  <c r="V48" i="34"/>
  <c r="U48" i="34"/>
  <c r="O48" i="34"/>
  <c r="N48" i="34"/>
  <c r="Q48" i="34" s="1"/>
  <c r="M48" i="34"/>
  <c r="AF48" i="34" s="1"/>
  <c r="K48" i="34"/>
  <c r="G48" i="34"/>
  <c r="V47" i="34"/>
  <c r="U47" i="34"/>
  <c r="O47" i="34"/>
  <c r="M47" i="34"/>
  <c r="N47" i="34" s="1"/>
  <c r="K47" i="34"/>
  <c r="G47" i="34"/>
  <c r="V46" i="34"/>
  <c r="O46" i="34"/>
  <c r="M46" i="34"/>
  <c r="N46" i="34" s="1"/>
  <c r="K46" i="34"/>
  <c r="G46" i="34"/>
  <c r="AD45" i="34"/>
  <c r="Z45" i="34"/>
  <c r="Y45" i="34"/>
  <c r="O45" i="34"/>
  <c r="K45" i="34"/>
  <c r="V44" i="34"/>
  <c r="M44" i="34" s="1"/>
  <c r="U44" i="34"/>
  <c r="O44" i="34"/>
  <c r="K44" i="34"/>
  <c r="G44" i="34"/>
  <c r="V43" i="34"/>
  <c r="M43" i="34" s="1"/>
  <c r="U43" i="34"/>
  <c r="O43" i="34"/>
  <c r="K43" i="34"/>
  <c r="G43" i="34"/>
  <c r="V42" i="34"/>
  <c r="M42" i="34" s="1"/>
  <c r="U42" i="34"/>
  <c r="O42" i="34"/>
  <c r="K42" i="34"/>
  <c r="G42" i="34"/>
  <c r="X41" i="34"/>
  <c r="W41" i="34"/>
  <c r="V41" i="34"/>
  <c r="M41" i="34" s="1"/>
  <c r="O41" i="34"/>
  <c r="K41" i="34"/>
  <c r="G41" i="34"/>
  <c r="AD40" i="34"/>
  <c r="Z40" i="34"/>
  <c r="Y40" i="34"/>
  <c r="O40" i="34"/>
  <c r="K40" i="34"/>
  <c r="V39" i="34"/>
  <c r="M39" i="34" s="1"/>
  <c r="U39" i="34"/>
  <c r="O39" i="34"/>
  <c r="K39" i="34"/>
  <c r="G39" i="34"/>
  <c r="V38" i="34"/>
  <c r="M38" i="34" s="1"/>
  <c r="U38" i="34"/>
  <c r="O38" i="34"/>
  <c r="K38" i="34"/>
  <c r="G38" i="34"/>
  <c r="X37" i="34"/>
  <c r="W37" i="34"/>
  <c r="V37" i="34"/>
  <c r="M37" i="34" s="1"/>
  <c r="U37" i="34"/>
  <c r="O37" i="34"/>
  <c r="K37" i="34"/>
  <c r="G37" i="34"/>
  <c r="V36" i="34"/>
  <c r="M36" i="34" s="1"/>
  <c r="U36" i="34"/>
  <c r="O36" i="34"/>
  <c r="K36" i="34"/>
  <c r="G36" i="34"/>
  <c r="V35" i="34"/>
  <c r="M35" i="34" s="1"/>
  <c r="U35" i="34"/>
  <c r="O35" i="34"/>
  <c r="K35" i="34"/>
  <c r="G35" i="34"/>
  <c r="X34" i="34"/>
  <c r="W34" i="34"/>
  <c r="V34" i="34"/>
  <c r="M34" i="34" s="1"/>
  <c r="O34" i="34"/>
  <c r="K34" i="34"/>
  <c r="G34" i="34"/>
  <c r="AD33" i="34"/>
  <c r="Z33" i="34"/>
  <c r="K19" i="33" s="1"/>
  <c r="Y33" i="34"/>
  <c r="O33" i="34"/>
  <c r="K33" i="34"/>
  <c r="V32" i="34"/>
  <c r="M32" i="34" s="1"/>
  <c r="U32" i="34"/>
  <c r="O32" i="34"/>
  <c r="K32" i="34"/>
  <c r="G32" i="34"/>
  <c r="V31" i="34"/>
  <c r="U31" i="34"/>
  <c r="O31" i="34"/>
  <c r="M31" i="34"/>
  <c r="AF31" i="34" s="1"/>
  <c r="K31" i="34"/>
  <c r="G31" i="34"/>
  <c r="V30" i="34"/>
  <c r="U30" i="34"/>
  <c r="O30" i="34"/>
  <c r="M30" i="34"/>
  <c r="AE30" i="34" s="1"/>
  <c r="K30" i="34"/>
  <c r="G30" i="34"/>
  <c r="X29" i="34"/>
  <c r="W29" i="34"/>
  <c r="V29" i="34"/>
  <c r="U29" i="34"/>
  <c r="O29" i="34"/>
  <c r="M29" i="34"/>
  <c r="N29" i="34" s="1"/>
  <c r="K29" i="34"/>
  <c r="G29" i="34"/>
  <c r="V28" i="34"/>
  <c r="U28" i="34"/>
  <c r="O28" i="34"/>
  <c r="M28" i="34"/>
  <c r="AE28" i="34" s="1"/>
  <c r="K28" i="34"/>
  <c r="G28" i="34"/>
  <c r="AF27" i="34"/>
  <c r="AE27" i="34"/>
  <c r="V27" i="34"/>
  <c r="U27" i="34"/>
  <c r="O27" i="34"/>
  <c r="N27" i="34"/>
  <c r="Q27" i="34" s="1"/>
  <c r="M27" i="34"/>
  <c r="K27" i="34"/>
  <c r="G27" i="34"/>
  <c r="V26" i="34"/>
  <c r="U26" i="34"/>
  <c r="O26" i="34"/>
  <c r="M26" i="34"/>
  <c r="N26" i="34" s="1"/>
  <c r="K26" i="34"/>
  <c r="G26" i="34"/>
  <c r="AF25" i="34"/>
  <c r="AE25" i="34"/>
  <c r="X25" i="34"/>
  <c r="W25" i="34"/>
  <c r="V25" i="34"/>
  <c r="O25" i="34"/>
  <c r="M25" i="34"/>
  <c r="N25" i="34" s="1"/>
  <c r="K25" i="34"/>
  <c r="G25" i="34"/>
  <c r="AD24" i="34"/>
  <c r="Z24" i="34"/>
  <c r="Y24" i="34"/>
  <c r="O24" i="34"/>
  <c r="K24" i="34"/>
  <c r="V23" i="34"/>
  <c r="U23" i="34"/>
  <c r="O23" i="34"/>
  <c r="M23" i="34"/>
  <c r="N23" i="34" s="1"/>
  <c r="K23" i="34"/>
  <c r="G23" i="34"/>
  <c r="V22" i="34"/>
  <c r="U22" i="34"/>
  <c r="O22" i="34"/>
  <c r="N22" i="34"/>
  <c r="Q22" i="34" s="1"/>
  <c r="M22" i="34"/>
  <c r="AF22" i="34" s="1"/>
  <c r="K22" i="34"/>
  <c r="G22" i="34"/>
  <c r="V21" i="34"/>
  <c r="U21" i="34"/>
  <c r="O21" i="34"/>
  <c r="M21" i="34"/>
  <c r="N21" i="34" s="1"/>
  <c r="K21" i="34"/>
  <c r="G21" i="34"/>
  <c r="F1" i="34" s="1"/>
  <c r="V20" i="34"/>
  <c r="M20" i="34" s="1"/>
  <c r="U20" i="34"/>
  <c r="O20" i="34"/>
  <c r="K20" i="34"/>
  <c r="G20" i="34"/>
  <c r="V19" i="34"/>
  <c r="M19" i="34" s="1"/>
  <c r="U19" i="34"/>
  <c r="O19" i="34"/>
  <c r="K19" i="34"/>
  <c r="G19" i="34"/>
  <c r="V18" i="34"/>
  <c r="M18" i="34" s="1"/>
  <c r="O18" i="34"/>
  <c r="K18" i="34"/>
  <c r="G18" i="34"/>
  <c r="AD17" i="34"/>
  <c r="Z17" i="34"/>
  <c r="Y17" i="34"/>
  <c r="O17" i="34"/>
  <c r="K17" i="34"/>
  <c r="V16" i="34"/>
  <c r="M16" i="34" s="1"/>
  <c r="U16" i="34"/>
  <c r="O16" i="34"/>
  <c r="K16" i="34"/>
  <c r="G16" i="34"/>
  <c r="V15" i="34"/>
  <c r="M15" i="34" s="1"/>
  <c r="U15" i="34"/>
  <c r="O15" i="34"/>
  <c r="K15" i="34"/>
  <c r="G15" i="34"/>
  <c r="V14" i="34"/>
  <c r="M14" i="34" s="1"/>
  <c r="U14" i="34"/>
  <c r="O14" i="34"/>
  <c r="K14" i="34"/>
  <c r="G14" i="34"/>
  <c r="V13" i="34"/>
  <c r="M13" i="34" s="1"/>
  <c r="O13" i="34"/>
  <c r="K13" i="34"/>
  <c r="G13" i="34"/>
  <c r="AD12" i="34"/>
  <c r="Z12" i="34"/>
  <c r="Z2" i="34" s="1"/>
  <c r="L6" i="33" s="1"/>
  <c r="Y12" i="34"/>
  <c r="O12" i="34"/>
  <c r="K12" i="34"/>
  <c r="V11" i="34"/>
  <c r="U11" i="34"/>
  <c r="O11" i="34"/>
  <c r="M11" i="34"/>
  <c r="AE11" i="34" s="1"/>
  <c r="K11" i="34"/>
  <c r="G11" i="34"/>
  <c r="X10" i="34"/>
  <c r="W10" i="34"/>
  <c r="V10" i="34"/>
  <c r="U10" i="34"/>
  <c r="O10" i="34"/>
  <c r="M10" i="34"/>
  <c r="N10" i="34" s="1"/>
  <c r="K10" i="34"/>
  <c r="G10" i="34"/>
  <c r="V9" i="34"/>
  <c r="O9" i="34"/>
  <c r="M9" i="34"/>
  <c r="AF9" i="34" s="1"/>
  <c r="K9" i="34"/>
  <c r="G9" i="34"/>
  <c r="AD8" i="34"/>
  <c r="Z8" i="34"/>
  <c r="Y8" i="34"/>
  <c r="Y2" i="34" s="1"/>
  <c r="K6" i="33" s="1"/>
  <c r="O8" i="34"/>
  <c r="K8" i="34"/>
  <c r="AF7" i="34"/>
  <c r="AE7" i="34"/>
  <c r="V7" i="34"/>
  <c r="U7" i="34"/>
  <c r="O7" i="34"/>
  <c r="N7" i="34"/>
  <c r="M7" i="34"/>
  <c r="K7" i="34"/>
  <c r="G7" i="34"/>
  <c r="V6" i="34"/>
  <c r="U6" i="34"/>
  <c r="O6" i="34"/>
  <c r="M6" i="34"/>
  <c r="K6" i="34"/>
  <c r="G6" i="34"/>
  <c r="V5" i="34"/>
  <c r="O5" i="34"/>
  <c r="M5" i="34"/>
  <c r="K5" i="34"/>
  <c r="G5" i="34"/>
  <c r="H2" i="34"/>
  <c r="H1" i="34"/>
  <c r="D1" i="34"/>
  <c r="M22" i="33"/>
  <c r="L22" i="33"/>
  <c r="K22" i="33"/>
  <c r="J22" i="33"/>
  <c r="I22" i="33"/>
  <c r="H22" i="33"/>
  <c r="G22" i="33"/>
  <c r="F22" i="33"/>
  <c r="E22" i="33"/>
  <c r="D22" i="33"/>
  <c r="M21" i="33"/>
  <c r="L21" i="33"/>
  <c r="K21" i="33"/>
  <c r="J21" i="33"/>
  <c r="H21" i="33"/>
  <c r="G21" i="33"/>
  <c r="F21" i="33"/>
  <c r="E21" i="33"/>
  <c r="D21" i="33"/>
  <c r="M20" i="33"/>
  <c r="L20" i="33"/>
  <c r="K20" i="33"/>
  <c r="J20" i="33"/>
  <c r="I20" i="33"/>
  <c r="H20" i="33"/>
  <c r="G20" i="33"/>
  <c r="F20" i="33"/>
  <c r="E20" i="33"/>
  <c r="D20" i="33"/>
  <c r="M19" i="33"/>
  <c r="L19" i="33"/>
  <c r="J19" i="33"/>
  <c r="I19" i="33"/>
  <c r="H19" i="33"/>
  <c r="G19" i="33"/>
  <c r="F19" i="33"/>
  <c r="E19" i="33"/>
  <c r="D19" i="33"/>
  <c r="M18" i="33"/>
  <c r="L18" i="33"/>
  <c r="K18" i="33"/>
  <c r="J18" i="33"/>
  <c r="H18" i="33"/>
  <c r="G18" i="33"/>
  <c r="F18" i="33"/>
  <c r="E18" i="33"/>
  <c r="D18" i="33"/>
  <c r="M17" i="33"/>
  <c r="L17" i="33"/>
  <c r="K17" i="33"/>
  <c r="J17" i="33"/>
  <c r="I17" i="33"/>
  <c r="H17" i="33"/>
  <c r="G17" i="33"/>
  <c r="F17" i="33"/>
  <c r="E17" i="33"/>
  <c r="D17" i="33"/>
  <c r="M16" i="33"/>
  <c r="L16" i="33"/>
  <c r="K16" i="33"/>
  <c r="J16" i="33"/>
  <c r="I16" i="33"/>
  <c r="H16" i="33"/>
  <c r="G16" i="33"/>
  <c r="F16" i="33"/>
  <c r="E16" i="33"/>
  <c r="D16" i="33"/>
  <c r="M13" i="33"/>
  <c r="L13" i="33"/>
  <c r="K13" i="33"/>
  <c r="I6" i="33" s="1"/>
  <c r="I13" i="33"/>
  <c r="H13" i="33"/>
  <c r="G13" i="33"/>
  <c r="F13" i="33"/>
  <c r="E13" i="33"/>
  <c r="D13" i="33"/>
  <c r="M6" i="33"/>
  <c r="F3" i="33"/>
  <c r="C3" i="33"/>
  <c r="G8" i="41" l="1"/>
  <c r="F8" i="41"/>
  <c r="E8" i="41"/>
  <c r="D15" i="39"/>
  <c r="G7" i="39"/>
  <c r="E7" i="39"/>
  <c r="F7" i="39"/>
  <c r="I7" i="39"/>
  <c r="K15" i="39"/>
  <c r="I8" i="39" s="1"/>
  <c r="K14" i="37"/>
  <c r="Q29" i="38"/>
  <c r="R23" i="38" s="1"/>
  <c r="P29" i="38"/>
  <c r="M14" i="37"/>
  <c r="M15" i="37" s="1"/>
  <c r="P63" i="38"/>
  <c r="Q63" i="38"/>
  <c r="R56" i="38" s="1"/>
  <c r="G14" i="37"/>
  <c r="G15" i="37" s="1"/>
  <c r="P22" i="38"/>
  <c r="Q22" i="38"/>
  <c r="R16" i="38" s="1"/>
  <c r="I14" i="37"/>
  <c r="I15" i="37" s="1"/>
  <c r="Q48" i="38"/>
  <c r="R41" i="38" s="1"/>
  <c r="P48" i="38"/>
  <c r="J14" i="37"/>
  <c r="J15" i="37" s="1"/>
  <c r="Q55" i="38"/>
  <c r="R49" i="38" s="1"/>
  <c r="P55" i="38"/>
  <c r="P11" i="38"/>
  <c r="E14" i="37"/>
  <c r="E15" i="37" s="1"/>
  <c r="Q11" i="38"/>
  <c r="R9" i="38" s="1"/>
  <c r="P40" i="38"/>
  <c r="H14" i="37"/>
  <c r="H15" i="37" s="1"/>
  <c r="Q40" i="38"/>
  <c r="R36" i="38" s="1"/>
  <c r="Q35" i="38"/>
  <c r="R30" i="38" s="1"/>
  <c r="L14" i="37"/>
  <c r="L15" i="37" s="1"/>
  <c r="P35" i="38"/>
  <c r="D14" i="37"/>
  <c r="Q8" i="38"/>
  <c r="R5" i="38" s="1"/>
  <c r="D2" i="38"/>
  <c r="P8" i="38"/>
  <c r="Q50" i="36"/>
  <c r="P50" i="36"/>
  <c r="Q25" i="36"/>
  <c r="P25" i="36"/>
  <c r="AF8" i="36"/>
  <c r="AG5" i="36" s="1"/>
  <c r="AE8" i="36"/>
  <c r="N8" i="36"/>
  <c r="Q41" i="36"/>
  <c r="P41" i="36"/>
  <c r="Q63" i="36"/>
  <c r="P63" i="36"/>
  <c r="Q30" i="36"/>
  <c r="P30" i="36"/>
  <c r="Q26" i="36"/>
  <c r="P26" i="36"/>
  <c r="Q49" i="36"/>
  <c r="P49" i="36"/>
  <c r="P17" i="36"/>
  <c r="Q17" i="36"/>
  <c r="Q57" i="36"/>
  <c r="P57" i="36"/>
  <c r="N60" i="36"/>
  <c r="AE60" i="36"/>
  <c r="AF60" i="36"/>
  <c r="AG54" i="36" s="1"/>
  <c r="P58" i="36"/>
  <c r="Q58" i="36"/>
  <c r="Q15" i="36"/>
  <c r="P15" i="36"/>
  <c r="P56" i="36"/>
  <c r="Q56" i="36"/>
  <c r="AF12" i="36"/>
  <c r="AG9" i="36" s="1"/>
  <c r="AE12" i="36"/>
  <c r="N12" i="36"/>
  <c r="P13" i="36"/>
  <c r="Q13" i="36"/>
  <c r="P62" i="36"/>
  <c r="Q62" i="36"/>
  <c r="Q38" i="36"/>
  <c r="P38" i="36"/>
  <c r="P59" i="36"/>
  <c r="Q59" i="36"/>
  <c r="P40" i="36"/>
  <c r="Q40" i="36"/>
  <c r="Q48" i="36"/>
  <c r="P48" i="36"/>
  <c r="P35" i="36"/>
  <c r="Q35" i="36"/>
  <c r="P37" i="36"/>
  <c r="Q37" i="36"/>
  <c r="Q19" i="36"/>
  <c r="P19" i="36"/>
  <c r="Q22" i="36"/>
  <c r="P22" i="36"/>
  <c r="AF23" i="36"/>
  <c r="AG17" i="36" s="1"/>
  <c r="AE23" i="36"/>
  <c r="N23" i="36"/>
  <c r="Q36" i="36"/>
  <c r="P36" i="36"/>
  <c r="Q10" i="36"/>
  <c r="P10" i="36"/>
  <c r="Q11" i="36"/>
  <c r="P11" i="36"/>
  <c r="AF69" i="36"/>
  <c r="AG61" i="36" s="1"/>
  <c r="AE69" i="36"/>
  <c r="N69" i="36"/>
  <c r="Q28" i="36"/>
  <c r="P28" i="36"/>
  <c r="N32" i="36"/>
  <c r="AF32" i="36"/>
  <c r="AG24" i="36" s="1"/>
  <c r="AE32" i="36"/>
  <c r="N16" i="36"/>
  <c r="AF16" i="36"/>
  <c r="AG13" i="36" s="1"/>
  <c r="AE16" i="36"/>
  <c r="P18" i="36"/>
  <c r="Q18" i="36"/>
  <c r="P14" i="36"/>
  <c r="Q14" i="36"/>
  <c r="P42" i="36"/>
  <c r="Q42" i="36"/>
  <c r="AF53" i="36"/>
  <c r="AG45" i="36" s="1"/>
  <c r="AE53" i="36"/>
  <c r="N53" i="36"/>
  <c r="N39" i="36"/>
  <c r="AF39" i="36"/>
  <c r="AG33" i="36" s="1"/>
  <c r="AE39" i="36"/>
  <c r="Q33" i="36"/>
  <c r="P33" i="36"/>
  <c r="P43" i="36"/>
  <c r="Q43" i="36"/>
  <c r="Q68" i="36"/>
  <c r="P68" i="36"/>
  <c r="Q51" i="36"/>
  <c r="P51" i="36"/>
  <c r="N44" i="36"/>
  <c r="AE44" i="36"/>
  <c r="AF44" i="36"/>
  <c r="AG40" i="36" s="1"/>
  <c r="Q69" i="34"/>
  <c r="P69" i="34"/>
  <c r="AF14" i="34"/>
  <c r="AE14" i="34"/>
  <c r="N14" i="34"/>
  <c r="N19" i="34"/>
  <c r="AE19" i="34"/>
  <c r="AF19" i="34"/>
  <c r="AF32" i="34"/>
  <c r="AE32" i="34"/>
  <c r="N32" i="34"/>
  <c r="P46" i="34"/>
  <c r="Q46" i="34"/>
  <c r="Q10" i="34"/>
  <c r="P10" i="34"/>
  <c r="N41" i="34"/>
  <c r="M45" i="34"/>
  <c r="AF41" i="34"/>
  <c r="AE41" i="34"/>
  <c r="AF43" i="34"/>
  <c r="AE43" i="34"/>
  <c r="N43" i="34"/>
  <c r="Q51" i="34"/>
  <c r="P51" i="34"/>
  <c r="AF59" i="34"/>
  <c r="AE59" i="34"/>
  <c r="N59" i="34"/>
  <c r="AF57" i="34"/>
  <c r="AE57" i="34"/>
  <c r="N57" i="34"/>
  <c r="Q29" i="34"/>
  <c r="P29" i="34"/>
  <c r="AF37" i="34"/>
  <c r="AE37" i="34"/>
  <c r="N37" i="34"/>
  <c r="AF39" i="34"/>
  <c r="AE39" i="34"/>
  <c r="N39" i="34"/>
  <c r="N60" i="34"/>
  <c r="AE60" i="34"/>
  <c r="AF60" i="34"/>
  <c r="AF42" i="34"/>
  <c r="AE42" i="34"/>
  <c r="N42" i="34"/>
  <c r="Q49" i="34"/>
  <c r="P49" i="34"/>
  <c r="AF58" i="34"/>
  <c r="AE58" i="34"/>
  <c r="N58" i="34"/>
  <c r="P65" i="34"/>
  <c r="Q65" i="34"/>
  <c r="N18" i="34"/>
  <c r="AE18" i="34"/>
  <c r="AF18" i="34"/>
  <c r="M24" i="34"/>
  <c r="N64" i="34"/>
  <c r="AF64" i="34"/>
  <c r="AE64" i="34"/>
  <c r="AF35" i="34"/>
  <c r="AE35" i="34"/>
  <c r="N35" i="34"/>
  <c r="N44" i="34"/>
  <c r="AE44" i="34"/>
  <c r="AF44" i="34"/>
  <c r="N5" i="34"/>
  <c r="M8" i="34"/>
  <c r="AF5" i="34"/>
  <c r="AE5" i="34"/>
  <c r="Q7" i="34"/>
  <c r="P7" i="34"/>
  <c r="AF15" i="34"/>
  <c r="AE15" i="34"/>
  <c r="N15" i="34"/>
  <c r="N20" i="34"/>
  <c r="AF20" i="34"/>
  <c r="AE20" i="34"/>
  <c r="Q26" i="34"/>
  <c r="P26" i="34"/>
  <c r="P47" i="34"/>
  <c r="Q47" i="34"/>
  <c r="Q67" i="34"/>
  <c r="P67" i="34"/>
  <c r="AF56" i="34"/>
  <c r="AE56" i="34"/>
  <c r="M62" i="34"/>
  <c r="N56" i="34"/>
  <c r="N61" i="34"/>
  <c r="AF61" i="34"/>
  <c r="AE61" i="34"/>
  <c r="F2" i="34"/>
  <c r="I3" i="33"/>
  <c r="M17" i="34"/>
  <c r="AF13" i="34"/>
  <c r="AE13" i="34"/>
  <c r="N13" i="34"/>
  <c r="P21" i="34"/>
  <c r="Q21" i="34"/>
  <c r="Q25" i="34"/>
  <c r="P25" i="34"/>
  <c r="G6" i="33"/>
  <c r="F6" i="33"/>
  <c r="E6" i="33"/>
  <c r="Q23" i="34"/>
  <c r="P23" i="34"/>
  <c r="M40" i="34"/>
  <c r="AF34" i="34"/>
  <c r="AE34" i="34"/>
  <c r="N34" i="34"/>
  <c r="AF36" i="34"/>
  <c r="AE36" i="34"/>
  <c r="N36" i="34"/>
  <c r="AF38" i="34"/>
  <c r="AE38" i="34"/>
  <c r="N38" i="34"/>
  <c r="N6" i="34"/>
  <c r="AF6" i="34"/>
  <c r="AE6" i="34"/>
  <c r="AF16" i="34"/>
  <c r="AE16" i="34"/>
  <c r="N16" i="34"/>
  <c r="AE10" i="34"/>
  <c r="AF11" i="34"/>
  <c r="AF28" i="34"/>
  <c r="AE29" i="34"/>
  <c r="AF30" i="34"/>
  <c r="M33" i="34"/>
  <c r="AF53" i="34"/>
  <c r="AF71" i="34"/>
  <c r="AF10" i="34"/>
  <c r="AE23" i="34"/>
  <c r="AE26" i="34"/>
  <c r="AF29" i="34"/>
  <c r="AE49" i="34"/>
  <c r="AE51" i="34"/>
  <c r="M55" i="34"/>
  <c r="AE69" i="34"/>
  <c r="M12" i="34"/>
  <c r="AE22" i="34"/>
  <c r="AF23" i="34"/>
  <c r="AF26" i="34"/>
  <c r="AE48" i="34"/>
  <c r="AF49" i="34"/>
  <c r="AF51" i="34"/>
  <c r="AE66" i="34"/>
  <c r="AF69" i="34"/>
  <c r="M72" i="34"/>
  <c r="AD2" i="34"/>
  <c r="N6" i="33" s="1"/>
  <c r="AE21" i="34"/>
  <c r="AE46" i="34"/>
  <c r="AE47" i="34"/>
  <c r="AE65" i="34"/>
  <c r="AE67" i="34"/>
  <c r="N9" i="34"/>
  <c r="AF21" i="34"/>
  <c r="N31" i="34"/>
  <c r="AF46" i="34"/>
  <c r="AF47" i="34"/>
  <c r="N54" i="34"/>
  <c r="AE63" i="34"/>
  <c r="AF65" i="34"/>
  <c r="AF67" i="34"/>
  <c r="N11" i="34"/>
  <c r="N28" i="34"/>
  <c r="N30" i="34"/>
  <c r="N53" i="34"/>
  <c r="N71" i="34"/>
  <c r="P27" i="34"/>
  <c r="P50" i="34"/>
  <c r="P52" i="34"/>
  <c r="P70" i="34"/>
  <c r="AE9" i="34"/>
  <c r="P22" i="34"/>
  <c r="AE31" i="34"/>
  <c r="P48" i="34"/>
  <c r="AE54" i="34"/>
  <c r="P63" i="34"/>
  <c r="P66" i="34"/>
  <c r="P68" i="34"/>
  <c r="AD76" i="32"/>
  <c r="Z76" i="32"/>
  <c r="Y76" i="32"/>
  <c r="O76" i="32"/>
  <c r="K76" i="32"/>
  <c r="M13" i="31" s="1"/>
  <c r="AF75" i="32"/>
  <c r="V75" i="32"/>
  <c r="U75" i="32"/>
  <c r="O75" i="32"/>
  <c r="M75" i="32"/>
  <c r="AE75" i="32" s="1"/>
  <c r="K75" i="32"/>
  <c r="G75" i="32"/>
  <c r="V74" i="32"/>
  <c r="U74" i="32"/>
  <c r="O74" i="32"/>
  <c r="M74" i="32"/>
  <c r="AF74" i="32" s="1"/>
  <c r="K74" i="32"/>
  <c r="G74" i="32"/>
  <c r="V73" i="32"/>
  <c r="U73" i="32"/>
  <c r="O73" i="32"/>
  <c r="M73" i="32"/>
  <c r="N73" i="32" s="1"/>
  <c r="K73" i="32"/>
  <c r="G73" i="32"/>
  <c r="AE72" i="32"/>
  <c r="X72" i="32"/>
  <c r="W72" i="32"/>
  <c r="V72" i="32"/>
  <c r="U72" i="32"/>
  <c r="O72" i="32"/>
  <c r="M72" i="32"/>
  <c r="AF72" i="32" s="1"/>
  <c r="K72" i="32"/>
  <c r="G72" i="32"/>
  <c r="V71" i="32"/>
  <c r="M71" i="32" s="1"/>
  <c r="U71" i="32"/>
  <c r="O71" i="32"/>
  <c r="K71" i="32"/>
  <c r="G71" i="32"/>
  <c r="V70" i="32"/>
  <c r="M70" i="32" s="1"/>
  <c r="U70" i="32"/>
  <c r="O70" i="32"/>
  <c r="K70" i="32"/>
  <c r="G70" i="32"/>
  <c r="AE69" i="32"/>
  <c r="X69" i="32"/>
  <c r="W69" i="32"/>
  <c r="V69" i="32"/>
  <c r="O69" i="32"/>
  <c r="M69" i="32"/>
  <c r="AF69" i="32" s="1"/>
  <c r="K69" i="32"/>
  <c r="G69" i="32"/>
  <c r="AD68" i="32"/>
  <c r="J21" i="31" s="1"/>
  <c r="Z68" i="32"/>
  <c r="Y68" i="32"/>
  <c r="O68" i="32"/>
  <c r="K68" i="32"/>
  <c r="V67" i="32"/>
  <c r="M67" i="32" s="1"/>
  <c r="U67" i="32"/>
  <c r="O67" i="32"/>
  <c r="K67" i="32"/>
  <c r="G67" i="32"/>
  <c r="AF66" i="32"/>
  <c r="V66" i="32"/>
  <c r="M66" i="32" s="1"/>
  <c r="U66" i="32"/>
  <c r="O66" i="32"/>
  <c r="K66" i="32"/>
  <c r="G66" i="32"/>
  <c r="V65" i="32"/>
  <c r="M65" i="32" s="1"/>
  <c r="N65" i="32" s="1"/>
  <c r="Q65" i="32" s="1"/>
  <c r="U65" i="32"/>
  <c r="O65" i="32"/>
  <c r="K65" i="32"/>
  <c r="G65" i="32"/>
  <c r="V64" i="32"/>
  <c r="M64" i="32" s="1"/>
  <c r="N64" i="32" s="1"/>
  <c r="U64" i="32"/>
  <c r="Q64" i="32"/>
  <c r="P64" i="32"/>
  <c r="O64" i="32"/>
  <c r="K64" i="32"/>
  <c r="G64" i="32"/>
  <c r="AE63" i="32"/>
  <c r="V63" i="32"/>
  <c r="M63" i="32" s="1"/>
  <c r="AF63" i="32" s="1"/>
  <c r="U63" i="32"/>
  <c r="O63" i="32"/>
  <c r="N63" i="32"/>
  <c r="Q63" i="32" s="1"/>
  <c r="K63" i="32"/>
  <c r="G63" i="32"/>
  <c r="V62" i="32"/>
  <c r="M62" i="32" s="1"/>
  <c r="AF62" i="32" s="1"/>
  <c r="O62" i="32"/>
  <c r="K62" i="32"/>
  <c r="G62" i="32"/>
  <c r="AD61" i="32"/>
  <c r="I21" i="31" s="1"/>
  <c r="Z61" i="32"/>
  <c r="Y61" i="32"/>
  <c r="O61" i="32"/>
  <c r="K61" i="32"/>
  <c r="V60" i="32"/>
  <c r="U60" i="32"/>
  <c r="O60" i="32"/>
  <c r="M60" i="32"/>
  <c r="K60" i="32"/>
  <c r="G60" i="32"/>
  <c r="V59" i="32"/>
  <c r="U59" i="32"/>
  <c r="O59" i="32"/>
  <c r="M59" i="32"/>
  <c r="K59" i="32"/>
  <c r="G59" i="32"/>
  <c r="V58" i="32"/>
  <c r="U58" i="32"/>
  <c r="O58" i="32"/>
  <c r="N58" i="32"/>
  <c r="Q58" i="32" s="1"/>
  <c r="M58" i="32"/>
  <c r="AF58" i="32" s="1"/>
  <c r="K58" i="32"/>
  <c r="G58" i="32"/>
  <c r="V57" i="32"/>
  <c r="U57" i="32"/>
  <c r="O57" i="32"/>
  <c r="M57" i="32"/>
  <c r="AE57" i="32" s="1"/>
  <c r="K57" i="32"/>
  <c r="G57" i="32"/>
  <c r="AF56" i="32"/>
  <c r="AE56" i="32"/>
  <c r="V56" i="32"/>
  <c r="U56" i="32"/>
  <c r="O56" i="32"/>
  <c r="M56" i="32"/>
  <c r="N56" i="32" s="1"/>
  <c r="K56" i="32"/>
  <c r="G56" i="32"/>
  <c r="AF55" i="32"/>
  <c r="AE55" i="32"/>
  <c r="X55" i="32"/>
  <c r="W55" i="32"/>
  <c r="V55" i="32"/>
  <c r="U55" i="32"/>
  <c r="O55" i="32"/>
  <c r="N55" i="32"/>
  <c r="M55" i="32"/>
  <c r="K55" i="32"/>
  <c r="G55" i="32"/>
  <c r="V54" i="32"/>
  <c r="U54" i="32"/>
  <c r="O54" i="32"/>
  <c r="N54" i="32"/>
  <c r="M54" i="32"/>
  <c r="AF54" i="32" s="1"/>
  <c r="K54" i="32"/>
  <c r="G54" i="32"/>
  <c r="V53" i="32"/>
  <c r="U53" i="32"/>
  <c r="O53" i="32"/>
  <c r="M53" i="32"/>
  <c r="N53" i="32" s="1"/>
  <c r="K53" i="32"/>
  <c r="G53" i="32"/>
  <c r="AE52" i="32"/>
  <c r="V52" i="32"/>
  <c r="M52" i="32" s="1"/>
  <c r="U52" i="32"/>
  <c r="O52" i="32"/>
  <c r="K52" i="32"/>
  <c r="G52" i="32"/>
  <c r="V51" i="32"/>
  <c r="M51" i="32" s="1"/>
  <c r="O51" i="32"/>
  <c r="K51" i="32"/>
  <c r="G51" i="32"/>
  <c r="AD50" i="32"/>
  <c r="H21" i="31" s="1"/>
  <c r="Z50" i="32"/>
  <c r="H19" i="31" s="1"/>
  <c r="Y50" i="32"/>
  <c r="O50" i="32"/>
  <c r="K50" i="32"/>
  <c r="AE49" i="32"/>
  <c r="V49" i="32"/>
  <c r="M49" i="32" s="1"/>
  <c r="N49" i="32" s="1"/>
  <c r="U49" i="32"/>
  <c r="Q49" i="32"/>
  <c r="P49" i="32"/>
  <c r="O49" i="32"/>
  <c r="K49" i="32"/>
  <c r="G49" i="32"/>
  <c r="AE48" i="32"/>
  <c r="V48" i="32"/>
  <c r="M48" i="32" s="1"/>
  <c r="N48" i="32" s="1"/>
  <c r="U48" i="32"/>
  <c r="Q48" i="32"/>
  <c r="P48" i="32"/>
  <c r="O48" i="32"/>
  <c r="K48" i="32"/>
  <c r="G48" i="32"/>
  <c r="V47" i="32"/>
  <c r="M47" i="32" s="1"/>
  <c r="AF47" i="32" s="1"/>
  <c r="U47" i="32"/>
  <c r="O47" i="32"/>
  <c r="K47" i="32"/>
  <c r="G47" i="32"/>
  <c r="X46" i="32"/>
  <c r="W46" i="32"/>
  <c r="V46" i="32"/>
  <c r="M46" i="32" s="1"/>
  <c r="O46" i="32"/>
  <c r="K46" i="32"/>
  <c r="G46" i="32"/>
  <c r="AD45" i="32"/>
  <c r="L21" i="31" s="1"/>
  <c r="Z45" i="32"/>
  <c r="Y45" i="32"/>
  <c r="L18" i="31" s="1"/>
  <c r="O45" i="32"/>
  <c r="K45" i="32"/>
  <c r="V44" i="32"/>
  <c r="M44" i="32" s="1"/>
  <c r="AF44" i="32" s="1"/>
  <c r="U44" i="32"/>
  <c r="O44" i="32"/>
  <c r="N44" i="32"/>
  <c r="Q44" i="32" s="1"/>
  <c r="K44" i="32"/>
  <c r="G44" i="32"/>
  <c r="V43" i="32"/>
  <c r="M43" i="32" s="1"/>
  <c r="U43" i="32"/>
  <c r="O43" i="32"/>
  <c r="K43" i="32"/>
  <c r="G43" i="32"/>
  <c r="V42" i="32"/>
  <c r="U42" i="32"/>
  <c r="O42" i="32"/>
  <c r="M42" i="32"/>
  <c r="K42" i="32"/>
  <c r="G42" i="32"/>
  <c r="X41" i="32"/>
  <c r="W41" i="32"/>
  <c r="V41" i="32"/>
  <c r="U41" i="32"/>
  <c r="O41" i="32"/>
  <c r="M41" i="32"/>
  <c r="K41" i="32"/>
  <c r="G41" i="32"/>
  <c r="V40" i="32"/>
  <c r="U40" i="32"/>
  <c r="O40" i="32"/>
  <c r="M40" i="32"/>
  <c r="K40" i="32"/>
  <c r="G40" i="32"/>
  <c r="V39" i="32"/>
  <c r="U39" i="32"/>
  <c r="O39" i="32"/>
  <c r="M39" i="32"/>
  <c r="K39" i="32"/>
  <c r="G39" i="32"/>
  <c r="V38" i="32"/>
  <c r="U38" i="32"/>
  <c r="O38" i="32"/>
  <c r="N38" i="32"/>
  <c r="Q38" i="32" s="1"/>
  <c r="M38" i="32"/>
  <c r="AF38" i="32" s="1"/>
  <c r="K38" i="32"/>
  <c r="G38" i="32"/>
  <c r="X37" i="32"/>
  <c r="W37" i="32"/>
  <c r="V37" i="32"/>
  <c r="O37" i="32"/>
  <c r="N37" i="32"/>
  <c r="P37" i="32" s="1"/>
  <c r="M37" i="32"/>
  <c r="K37" i="32"/>
  <c r="G37" i="32"/>
  <c r="AD36" i="32"/>
  <c r="K21" i="31" s="1"/>
  <c r="Z36" i="32"/>
  <c r="Y36" i="32"/>
  <c r="O36" i="32"/>
  <c r="K36" i="32"/>
  <c r="K13" i="31" s="1"/>
  <c r="I6" i="31" s="1"/>
  <c r="V35" i="32"/>
  <c r="U35" i="32"/>
  <c r="P35" i="32"/>
  <c r="O35" i="32"/>
  <c r="N35" i="32"/>
  <c r="M35" i="32"/>
  <c r="AF35" i="32" s="1"/>
  <c r="K35" i="32"/>
  <c r="G35" i="32"/>
  <c r="V34" i="32"/>
  <c r="U34" i="32"/>
  <c r="O34" i="32"/>
  <c r="M34" i="32"/>
  <c r="AE34" i="32" s="1"/>
  <c r="K34" i="32"/>
  <c r="G34" i="32"/>
  <c r="V33" i="32"/>
  <c r="U33" i="32"/>
  <c r="O33" i="32"/>
  <c r="M33" i="32"/>
  <c r="AF33" i="32" s="1"/>
  <c r="K33" i="32"/>
  <c r="G33" i="32"/>
  <c r="AF32" i="32"/>
  <c r="AE32" i="32"/>
  <c r="V32" i="32"/>
  <c r="U32" i="32"/>
  <c r="O32" i="32"/>
  <c r="M32" i="32"/>
  <c r="N32" i="32" s="1"/>
  <c r="K32" i="32"/>
  <c r="G32" i="32"/>
  <c r="AE31" i="32"/>
  <c r="X31" i="32"/>
  <c r="W31" i="32"/>
  <c r="V31" i="32"/>
  <c r="U31" i="32"/>
  <c r="O31" i="32"/>
  <c r="N31" i="32"/>
  <c r="M31" i="32"/>
  <c r="AF31" i="32" s="1"/>
  <c r="K31" i="32"/>
  <c r="G31" i="32"/>
  <c r="V30" i="32"/>
  <c r="M30" i="32" s="1"/>
  <c r="U30" i="32"/>
  <c r="O30" i="32"/>
  <c r="K30" i="32"/>
  <c r="G30" i="32"/>
  <c r="V29" i="32"/>
  <c r="U29" i="32"/>
  <c r="O29" i="32"/>
  <c r="M29" i="32"/>
  <c r="K29" i="32"/>
  <c r="G29" i="32"/>
  <c r="V28" i="32"/>
  <c r="M28" i="32" s="1"/>
  <c r="U28" i="32"/>
  <c r="O28" i="32"/>
  <c r="K28" i="32"/>
  <c r="G28" i="32"/>
  <c r="X27" i="32"/>
  <c r="W27" i="32"/>
  <c r="V27" i="32"/>
  <c r="M27" i="32" s="1"/>
  <c r="O27" i="32"/>
  <c r="K27" i="32"/>
  <c r="G27" i="32"/>
  <c r="AD26" i="32"/>
  <c r="Z26" i="32"/>
  <c r="G19" i="31" s="1"/>
  <c r="Y26" i="32"/>
  <c r="O26" i="32"/>
  <c r="K26" i="32"/>
  <c r="G13" i="31" s="1"/>
  <c r="V25" i="32"/>
  <c r="M25" i="32" s="1"/>
  <c r="U25" i="32"/>
  <c r="O25" i="32"/>
  <c r="K25" i="32"/>
  <c r="G25" i="32"/>
  <c r="V24" i="32"/>
  <c r="M24" i="32" s="1"/>
  <c r="N24" i="32" s="1"/>
  <c r="Q24" i="32" s="1"/>
  <c r="U24" i="32"/>
  <c r="O24" i="32"/>
  <c r="K24" i="32"/>
  <c r="G24" i="32"/>
  <c r="V23" i="32"/>
  <c r="M23" i="32" s="1"/>
  <c r="N23" i="32" s="1"/>
  <c r="U23" i="32"/>
  <c r="Q23" i="32"/>
  <c r="P23" i="32"/>
  <c r="O23" i="32"/>
  <c r="K23" i="32"/>
  <c r="G23" i="32"/>
  <c r="AF22" i="32"/>
  <c r="AE22" i="32"/>
  <c r="V22" i="32"/>
  <c r="M22" i="32" s="1"/>
  <c r="U22" i="32"/>
  <c r="O22" i="32"/>
  <c r="N22" i="32"/>
  <c r="Q22" i="32" s="1"/>
  <c r="K22" i="32"/>
  <c r="G22" i="32"/>
  <c r="V21" i="32"/>
  <c r="M21" i="32" s="1"/>
  <c r="U21" i="32"/>
  <c r="O21" i="32"/>
  <c r="K21" i="32"/>
  <c r="G21" i="32"/>
  <c r="V20" i="32"/>
  <c r="O20" i="32"/>
  <c r="M20" i="32"/>
  <c r="AF20" i="32" s="1"/>
  <c r="K20" i="32"/>
  <c r="G20" i="32"/>
  <c r="AD19" i="32"/>
  <c r="Z19" i="32"/>
  <c r="F19" i="31" s="1"/>
  <c r="Y19" i="32"/>
  <c r="F18" i="31" s="1"/>
  <c r="O19" i="32"/>
  <c r="M19" i="32"/>
  <c r="K19" i="32"/>
  <c r="V18" i="32"/>
  <c r="U18" i="32"/>
  <c r="O18" i="32"/>
  <c r="M18" i="32"/>
  <c r="K18" i="32"/>
  <c r="G18" i="32"/>
  <c r="V17" i="32"/>
  <c r="U17" i="32"/>
  <c r="Q17" i="32"/>
  <c r="O17" i="32"/>
  <c r="N17" i="32"/>
  <c r="P17" i="32" s="1"/>
  <c r="M17" i="32"/>
  <c r="AF17" i="32" s="1"/>
  <c r="K17" i="32"/>
  <c r="G17" i="32"/>
  <c r="V16" i="32"/>
  <c r="U16" i="32"/>
  <c r="O16" i="32"/>
  <c r="N16" i="32"/>
  <c r="Q16" i="32" s="1"/>
  <c r="M16" i="32"/>
  <c r="AE16" i="32" s="1"/>
  <c r="K16" i="32"/>
  <c r="G16" i="32"/>
  <c r="V15" i="32"/>
  <c r="U15" i="32"/>
  <c r="O15" i="32"/>
  <c r="M15" i="32"/>
  <c r="AF15" i="32" s="1"/>
  <c r="K15" i="32"/>
  <c r="G15" i="32"/>
  <c r="AF14" i="32"/>
  <c r="AE14" i="32"/>
  <c r="V14" i="32"/>
  <c r="O14" i="32"/>
  <c r="M14" i="32"/>
  <c r="N14" i="32" s="1"/>
  <c r="K14" i="32"/>
  <c r="G14" i="32"/>
  <c r="AD13" i="32"/>
  <c r="AD2" i="32" s="1"/>
  <c r="N6" i="31" s="1"/>
  <c r="Z13" i="32"/>
  <c r="Y13" i="32"/>
  <c r="O13" i="32"/>
  <c r="K13" i="32"/>
  <c r="E13" i="31" s="1"/>
  <c r="V12" i="32"/>
  <c r="U12" i="32"/>
  <c r="O12" i="32"/>
  <c r="M12" i="32"/>
  <c r="K12" i="32"/>
  <c r="G12" i="32"/>
  <c r="AF11" i="32"/>
  <c r="X11" i="32"/>
  <c r="W11" i="32"/>
  <c r="V11" i="32"/>
  <c r="U11" i="32"/>
  <c r="O11" i="32"/>
  <c r="N11" i="32"/>
  <c r="M11" i="32"/>
  <c r="AE11" i="32" s="1"/>
  <c r="K11" i="32"/>
  <c r="G11" i="32"/>
  <c r="V10" i="32"/>
  <c r="M10" i="32" s="1"/>
  <c r="O10" i="32"/>
  <c r="K10" i="32"/>
  <c r="G10" i="32"/>
  <c r="AD9" i="32"/>
  <c r="D21" i="31" s="1"/>
  <c r="Z9" i="32"/>
  <c r="D19" i="31" s="1"/>
  <c r="Y9" i="32"/>
  <c r="O9" i="32"/>
  <c r="M9" i="32"/>
  <c r="AF9" i="32" s="1"/>
  <c r="AG5" i="32" s="1"/>
  <c r="K9" i="32"/>
  <c r="D13" i="31" s="1"/>
  <c r="AF8" i="32"/>
  <c r="V8" i="32"/>
  <c r="M8" i="32" s="1"/>
  <c r="U8" i="32"/>
  <c r="O8" i="32"/>
  <c r="K8" i="32"/>
  <c r="G8" i="32"/>
  <c r="F1" i="32" s="1"/>
  <c r="AF7" i="32"/>
  <c r="AE7" i="32"/>
  <c r="V7" i="32"/>
  <c r="M7" i="32" s="1"/>
  <c r="N7" i="32" s="1"/>
  <c r="P7" i="32" s="1"/>
  <c r="U7" i="32"/>
  <c r="Q7" i="32"/>
  <c r="O7" i="32"/>
  <c r="K7" i="32"/>
  <c r="G7" i="32"/>
  <c r="V6" i="32"/>
  <c r="M6" i="32" s="1"/>
  <c r="N6" i="32" s="1"/>
  <c r="P6" i="32" s="1"/>
  <c r="U6" i="32"/>
  <c r="Q6" i="32"/>
  <c r="O6" i="32"/>
  <c r="K6" i="32"/>
  <c r="G6" i="32"/>
  <c r="V5" i="32"/>
  <c r="M5" i="32" s="1"/>
  <c r="N5" i="32" s="1"/>
  <c r="Q5" i="32" s="1"/>
  <c r="P5" i="32"/>
  <c r="O5" i="32"/>
  <c r="K5" i="32"/>
  <c r="G5" i="32"/>
  <c r="Z2" i="32"/>
  <c r="L6" i="31" s="1"/>
  <c r="H2" i="32"/>
  <c r="H1" i="32"/>
  <c r="D1" i="32"/>
  <c r="M22" i="31"/>
  <c r="L22" i="31"/>
  <c r="K22" i="31"/>
  <c r="J22" i="31"/>
  <c r="I22" i="31"/>
  <c r="H22" i="31"/>
  <c r="G22" i="31"/>
  <c r="F22" i="31"/>
  <c r="E22" i="31"/>
  <c r="D22" i="31"/>
  <c r="M21" i="31"/>
  <c r="G21" i="31"/>
  <c r="F21" i="31"/>
  <c r="E21" i="31"/>
  <c r="M20" i="31"/>
  <c r="L20" i="31"/>
  <c r="K20" i="31"/>
  <c r="J20" i="31"/>
  <c r="I20" i="31"/>
  <c r="H20" i="31"/>
  <c r="G20" i="31"/>
  <c r="F20" i="31"/>
  <c r="E20" i="31"/>
  <c r="D20" i="31"/>
  <c r="M19" i="31"/>
  <c r="L19" i="31"/>
  <c r="K19" i="31"/>
  <c r="J19" i="31"/>
  <c r="I19" i="31"/>
  <c r="E19" i="31"/>
  <c r="M18" i="31"/>
  <c r="K18" i="31"/>
  <c r="J18" i="31"/>
  <c r="I18" i="31"/>
  <c r="H18" i="31"/>
  <c r="G18" i="31"/>
  <c r="E18" i="31"/>
  <c r="D18" i="31"/>
  <c r="M17" i="31"/>
  <c r="L17" i="31"/>
  <c r="K17" i="31"/>
  <c r="J17" i="31"/>
  <c r="I17" i="31"/>
  <c r="H17" i="31"/>
  <c r="G17" i="31"/>
  <c r="F17" i="31"/>
  <c r="E17" i="31"/>
  <c r="D17" i="31"/>
  <c r="M16" i="31"/>
  <c r="L16" i="31"/>
  <c r="K16" i="31"/>
  <c r="J16" i="31"/>
  <c r="I16" i="31"/>
  <c r="H16" i="31"/>
  <c r="G16" i="31"/>
  <c r="F16" i="31"/>
  <c r="E16" i="31"/>
  <c r="D16" i="31"/>
  <c r="L13" i="31"/>
  <c r="J13" i="31"/>
  <c r="I13" i="31"/>
  <c r="H13" i="31"/>
  <c r="F13" i="31"/>
  <c r="M6" i="31"/>
  <c r="F3" i="31"/>
  <c r="C3" i="31"/>
  <c r="G8" i="39" l="1"/>
  <c r="F8" i="39"/>
  <c r="E8" i="39"/>
  <c r="E7" i="37"/>
  <c r="G7" i="37"/>
  <c r="F7" i="37"/>
  <c r="D15" i="37"/>
  <c r="I7" i="37"/>
  <c r="K15" i="37"/>
  <c r="I8" i="37" s="1"/>
  <c r="P16" i="36"/>
  <c r="Q16" i="36"/>
  <c r="R13" i="36" s="1"/>
  <c r="F14" i="35"/>
  <c r="F15" i="35" s="1"/>
  <c r="Q32" i="36"/>
  <c r="R24" i="36" s="1"/>
  <c r="P32" i="36"/>
  <c r="K14" i="35"/>
  <c r="P39" i="36"/>
  <c r="Q39" i="36"/>
  <c r="R33" i="36" s="1"/>
  <c r="L14" i="35"/>
  <c r="L15" i="35" s="1"/>
  <c r="Q44" i="36"/>
  <c r="R40" i="36" s="1"/>
  <c r="P44" i="36"/>
  <c r="H14" i="35"/>
  <c r="H15" i="35" s="1"/>
  <c r="I14" i="35"/>
  <c r="I15" i="35" s="1"/>
  <c r="Q53" i="36"/>
  <c r="R45" i="36" s="1"/>
  <c r="P53" i="36"/>
  <c r="Q60" i="36"/>
  <c r="R54" i="36" s="1"/>
  <c r="P60" i="36"/>
  <c r="J14" i="35"/>
  <c r="J15" i="35" s="1"/>
  <c r="P12" i="36"/>
  <c r="E14" i="35"/>
  <c r="E15" i="35" s="1"/>
  <c r="Q12" i="36"/>
  <c r="R9" i="36" s="1"/>
  <c r="Q23" i="36"/>
  <c r="R17" i="36" s="1"/>
  <c r="P23" i="36"/>
  <c r="G14" i="35"/>
  <c r="G15" i="35" s="1"/>
  <c r="Q8" i="36"/>
  <c r="R5" i="36" s="1"/>
  <c r="P8" i="36"/>
  <c r="D14" i="35"/>
  <c r="Q69" i="36"/>
  <c r="R61" i="36" s="1"/>
  <c r="P69" i="36"/>
  <c r="M14" i="35"/>
  <c r="M15" i="35" s="1"/>
  <c r="Q16" i="34"/>
  <c r="P16" i="34"/>
  <c r="Q34" i="34"/>
  <c r="P34" i="34"/>
  <c r="P32" i="34"/>
  <c r="Q32" i="34"/>
  <c r="Q53" i="34"/>
  <c r="P53" i="34"/>
  <c r="Q9" i="34"/>
  <c r="P9" i="34"/>
  <c r="N40" i="34"/>
  <c r="AF40" i="34"/>
  <c r="AG34" i="34" s="1"/>
  <c r="AE40" i="34"/>
  <c r="Q31" i="34"/>
  <c r="P31" i="34"/>
  <c r="Q30" i="34"/>
  <c r="P30" i="34"/>
  <c r="N17" i="34"/>
  <c r="AF17" i="34"/>
  <c r="AG13" i="34" s="1"/>
  <c r="AE17" i="34"/>
  <c r="Q64" i="34"/>
  <c r="P64" i="34"/>
  <c r="Q42" i="34"/>
  <c r="P42" i="34"/>
  <c r="Q43" i="34"/>
  <c r="P43" i="34"/>
  <c r="Q28" i="34"/>
  <c r="P28" i="34"/>
  <c r="Q6" i="34"/>
  <c r="P6" i="34"/>
  <c r="N24" i="34"/>
  <c r="AF24" i="34"/>
  <c r="AG18" i="34" s="1"/>
  <c r="AE24" i="34"/>
  <c r="Q37" i="34"/>
  <c r="P37" i="34"/>
  <c r="Q11" i="34"/>
  <c r="P11" i="34"/>
  <c r="AF33" i="34"/>
  <c r="AG25" i="34" s="1"/>
  <c r="AE33" i="34"/>
  <c r="N33" i="34"/>
  <c r="Q38" i="34"/>
  <c r="P38" i="34"/>
  <c r="AE8" i="34"/>
  <c r="N8" i="34"/>
  <c r="AF8" i="34"/>
  <c r="AG5" i="34" s="1"/>
  <c r="Q57" i="34"/>
  <c r="P57" i="34"/>
  <c r="Q19" i="34"/>
  <c r="P19" i="34"/>
  <c r="AF12" i="34"/>
  <c r="AG9" i="34" s="1"/>
  <c r="AE12" i="34"/>
  <c r="N12" i="34"/>
  <c r="Q5" i="34"/>
  <c r="P5" i="34"/>
  <c r="N45" i="34"/>
  <c r="AF45" i="34"/>
  <c r="AG41" i="34" s="1"/>
  <c r="AE45" i="34"/>
  <c r="P14" i="34"/>
  <c r="Q14" i="34"/>
  <c r="Q18" i="34"/>
  <c r="P18" i="34"/>
  <c r="Q41" i="34"/>
  <c r="P41" i="34"/>
  <c r="AF55" i="34"/>
  <c r="AG46" i="34" s="1"/>
  <c r="AE55" i="34"/>
  <c r="N55" i="34"/>
  <c r="Q36" i="34"/>
  <c r="P36" i="34"/>
  <c r="Q61" i="34"/>
  <c r="P61" i="34"/>
  <c r="Q60" i="34"/>
  <c r="P60" i="34"/>
  <c r="Q59" i="34"/>
  <c r="P59" i="34"/>
  <c r="P13" i="34"/>
  <c r="Q13" i="34"/>
  <c r="Q71" i="34"/>
  <c r="P71" i="34"/>
  <c r="Q54" i="34"/>
  <c r="P54" i="34"/>
  <c r="AF72" i="34"/>
  <c r="AG63" i="34" s="1"/>
  <c r="AE72" i="34"/>
  <c r="N72" i="34"/>
  <c r="Q56" i="34"/>
  <c r="P56" i="34"/>
  <c r="Q20" i="34"/>
  <c r="P20" i="34"/>
  <c r="Q44" i="34"/>
  <c r="P44" i="34"/>
  <c r="Q39" i="34"/>
  <c r="P39" i="34"/>
  <c r="N62" i="34"/>
  <c r="AF62" i="34"/>
  <c r="AG56" i="34" s="1"/>
  <c r="AE62" i="34"/>
  <c r="Q15" i="34"/>
  <c r="P15" i="34"/>
  <c r="P35" i="34"/>
  <c r="Q35" i="34"/>
  <c r="Q58" i="34"/>
  <c r="P58" i="34"/>
  <c r="G6" i="31"/>
  <c r="F6" i="31"/>
  <c r="E6" i="31"/>
  <c r="AE30" i="32"/>
  <c r="AF30" i="32"/>
  <c r="N30" i="32"/>
  <c r="N10" i="32"/>
  <c r="M13" i="32"/>
  <c r="AE10" i="32"/>
  <c r="AF10" i="32"/>
  <c r="N71" i="32"/>
  <c r="M76" i="32"/>
  <c r="AF71" i="32"/>
  <c r="AE71" i="32"/>
  <c r="Q32" i="32"/>
  <c r="P32" i="32"/>
  <c r="Q56" i="32"/>
  <c r="P56" i="32"/>
  <c r="AF21" i="32"/>
  <c r="N21" i="32"/>
  <c r="M26" i="32"/>
  <c r="AE21" i="32"/>
  <c r="AE43" i="32"/>
  <c r="AF43" i="32"/>
  <c r="N43" i="32"/>
  <c r="Q14" i="32"/>
  <c r="P14" i="32"/>
  <c r="F2" i="32"/>
  <c r="I3" i="31"/>
  <c r="AE27" i="32"/>
  <c r="AF27" i="32"/>
  <c r="N27" i="32"/>
  <c r="M36" i="32"/>
  <c r="AE19" i="32"/>
  <c r="AF19" i="32"/>
  <c r="AG14" i="32" s="1"/>
  <c r="AF41" i="32"/>
  <c r="AE41" i="32"/>
  <c r="N46" i="32"/>
  <c r="M50" i="32"/>
  <c r="AF46" i="32"/>
  <c r="Q54" i="32"/>
  <c r="P54" i="32"/>
  <c r="P55" i="32"/>
  <c r="Q55" i="32"/>
  <c r="AF57" i="32"/>
  <c r="N66" i="32"/>
  <c r="AE66" i="32"/>
  <c r="N12" i="32"/>
  <c r="AF12" i="32"/>
  <c r="N19" i="32"/>
  <c r="N41" i="32"/>
  <c r="AE62" i="32"/>
  <c r="N25" i="32"/>
  <c r="AE25" i="32"/>
  <c r="N20" i="32"/>
  <c r="P24" i="32"/>
  <c r="AF25" i="32"/>
  <c r="N28" i="32"/>
  <c r="AE28" i="32"/>
  <c r="AF42" i="32"/>
  <c r="AE42" i="32"/>
  <c r="P65" i="32"/>
  <c r="N9" i="32"/>
  <c r="AF28" i="32"/>
  <c r="N34" i="32"/>
  <c r="AF37" i="32"/>
  <c r="AE37" i="32"/>
  <c r="M45" i="32"/>
  <c r="N42" i="32"/>
  <c r="AE47" i="32"/>
  <c r="N52" i="32"/>
  <c r="AF52" i="32"/>
  <c r="N74" i="32"/>
  <c r="AE6" i="32"/>
  <c r="N15" i="32"/>
  <c r="AE20" i="32"/>
  <c r="AF24" i="32"/>
  <c r="AF34" i="32"/>
  <c r="Q37" i="32"/>
  <c r="AF40" i="32"/>
  <c r="AE40" i="32"/>
  <c r="AE46" i="32"/>
  <c r="Q53" i="32"/>
  <c r="P53" i="32"/>
  <c r="P58" i="32"/>
  <c r="AF65" i="32"/>
  <c r="N67" i="32"/>
  <c r="AF67" i="32"/>
  <c r="AE74" i="32"/>
  <c r="P16" i="32"/>
  <c r="AE24" i="32"/>
  <c r="N29" i="32"/>
  <c r="AF29" i="32"/>
  <c r="N33" i="32"/>
  <c r="P38" i="32"/>
  <c r="AE65" i="32"/>
  <c r="Q73" i="32"/>
  <c r="P73" i="32"/>
  <c r="AF6" i="32"/>
  <c r="AE9" i="32"/>
  <c r="Q11" i="32"/>
  <c r="P11" i="32"/>
  <c r="N40" i="32"/>
  <c r="M61" i="32"/>
  <c r="N51" i="32"/>
  <c r="AF51" i="32"/>
  <c r="AE54" i="32"/>
  <c r="AE60" i="32"/>
  <c r="AF60" i="32"/>
  <c r="AE67" i="32"/>
  <c r="N70" i="32"/>
  <c r="AF70" i="32"/>
  <c r="AE5" i="32"/>
  <c r="AE12" i="32"/>
  <c r="AF16" i="32"/>
  <c r="AF18" i="32"/>
  <c r="AE18" i="32"/>
  <c r="N18" i="32"/>
  <c r="P22" i="32"/>
  <c r="AE23" i="32"/>
  <c r="P44" i="32"/>
  <c r="AF49" i="32"/>
  <c r="AE51" i="32"/>
  <c r="N57" i="32"/>
  <c r="N60" i="32"/>
  <c r="AE64" i="32"/>
  <c r="N69" i="32"/>
  <c r="AE70" i="32"/>
  <c r="N72" i="32"/>
  <c r="AF5" i="32"/>
  <c r="AF23" i="32"/>
  <c r="AE29" i="32"/>
  <c r="AE33" i="32"/>
  <c r="N47" i="32"/>
  <c r="P63" i="32"/>
  <c r="AF64" i="32"/>
  <c r="M68" i="32"/>
  <c r="AE73" i="32"/>
  <c r="N8" i="32"/>
  <c r="AE8" i="32"/>
  <c r="AE15" i="32"/>
  <c r="Q31" i="32"/>
  <c r="P31" i="32"/>
  <c r="Q35" i="32"/>
  <c r="AF39" i="32"/>
  <c r="AE39" i="32"/>
  <c r="N39" i="32"/>
  <c r="AE53" i="32"/>
  <c r="AF73" i="32"/>
  <c r="Y2" i="32"/>
  <c r="K6" i="31" s="1"/>
  <c r="AE44" i="32"/>
  <c r="AF48" i="32"/>
  <c r="AF53" i="32"/>
  <c r="AF59" i="32"/>
  <c r="AE59" i="32"/>
  <c r="N59" i="32"/>
  <c r="N62" i="32"/>
  <c r="N75" i="32"/>
  <c r="AE17" i="32"/>
  <c r="AE35" i="32"/>
  <c r="AE38" i="32"/>
  <c r="AE58" i="32"/>
  <c r="AD72" i="26"/>
  <c r="Z72" i="26"/>
  <c r="Y72" i="26"/>
  <c r="O72" i="26"/>
  <c r="K72" i="26"/>
  <c r="V71" i="26"/>
  <c r="U71" i="26"/>
  <c r="O71" i="26"/>
  <c r="M71" i="26"/>
  <c r="AE71" i="26" s="1"/>
  <c r="K71" i="26"/>
  <c r="G71" i="26"/>
  <c r="AF70" i="26"/>
  <c r="AE70" i="26"/>
  <c r="V70" i="26"/>
  <c r="U70" i="26"/>
  <c r="P70" i="26"/>
  <c r="O70" i="26"/>
  <c r="N70" i="26"/>
  <c r="Q70" i="26" s="1"/>
  <c r="M70" i="26"/>
  <c r="K70" i="26"/>
  <c r="G70" i="26"/>
  <c r="V69" i="26"/>
  <c r="M69" i="26" s="1"/>
  <c r="U69" i="26"/>
  <c r="O69" i="26"/>
  <c r="K69" i="26"/>
  <c r="G69" i="26"/>
  <c r="AF68" i="26"/>
  <c r="AE68" i="26"/>
  <c r="X68" i="26"/>
  <c r="W68" i="26"/>
  <c r="V68" i="26"/>
  <c r="U68" i="26"/>
  <c r="P68" i="26"/>
  <c r="O68" i="26"/>
  <c r="N68" i="26"/>
  <c r="Q68" i="26" s="1"/>
  <c r="M68" i="26"/>
  <c r="K68" i="26"/>
  <c r="G68" i="26"/>
  <c r="V67" i="26"/>
  <c r="M67" i="26" s="1"/>
  <c r="U67" i="26"/>
  <c r="O67" i="26"/>
  <c r="K67" i="26"/>
  <c r="G67" i="26"/>
  <c r="V66" i="26"/>
  <c r="M66" i="26" s="1"/>
  <c r="U66" i="26"/>
  <c r="O66" i="26"/>
  <c r="K66" i="26"/>
  <c r="G66" i="26"/>
  <c r="AE65" i="26"/>
  <c r="V65" i="26"/>
  <c r="U65" i="26"/>
  <c r="O65" i="26"/>
  <c r="M65" i="26"/>
  <c r="N65" i="26" s="1"/>
  <c r="K65" i="26"/>
  <c r="G65" i="26"/>
  <c r="X64" i="26"/>
  <c r="W64" i="26"/>
  <c r="V64" i="26"/>
  <c r="M64" i="26" s="1"/>
  <c r="O64" i="26"/>
  <c r="K64" i="26"/>
  <c r="G64" i="26"/>
  <c r="AD63" i="26"/>
  <c r="Z63" i="26"/>
  <c r="Y63" i="26"/>
  <c r="O63" i="26"/>
  <c r="K63" i="26"/>
  <c r="AE62" i="26"/>
  <c r="V62" i="26"/>
  <c r="U62" i="26"/>
  <c r="O62" i="26"/>
  <c r="M62" i="26"/>
  <c r="N62" i="26" s="1"/>
  <c r="K62" i="26"/>
  <c r="G62" i="26"/>
  <c r="V61" i="26"/>
  <c r="M61" i="26" s="1"/>
  <c r="U61" i="26"/>
  <c r="O61" i="26"/>
  <c r="K61" i="26"/>
  <c r="G61" i="26"/>
  <c r="V60" i="26"/>
  <c r="M60" i="26" s="1"/>
  <c r="U60" i="26"/>
  <c r="O60" i="26"/>
  <c r="K60" i="26"/>
  <c r="G60" i="26"/>
  <c r="V59" i="26"/>
  <c r="M59" i="26" s="1"/>
  <c r="U59" i="26"/>
  <c r="O59" i="26"/>
  <c r="K59" i="26"/>
  <c r="G59" i="26"/>
  <c r="V58" i="26"/>
  <c r="M58" i="26" s="1"/>
  <c r="U58" i="26"/>
  <c r="O58" i="26"/>
  <c r="K58" i="26"/>
  <c r="G58" i="26"/>
  <c r="V57" i="26"/>
  <c r="M57" i="26" s="1"/>
  <c r="O57" i="26"/>
  <c r="K57" i="26"/>
  <c r="G57" i="26"/>
  <c r="AD56" i="26"/>
  <c r="Z56" i="26"/>
  <c r="Y56" i="26"/>
  <c r="O56" i="26"/>
  <c r="K56" i="26"/>
  <c r="V55" i="26"/>
  <c r="M55" i="26" s="1"/>
  <c r="U55" i="26"/>
  <c r="O55" i="26"/>
  <c r="K55" i="26"/>
  <c r="G55" i="26"/>
  <c r="V54" i="26"/>
  <c r="U54" i="26"/>
  <c r="O54" i="26"/>
  <c r="M54" i="26"/>
  <c r="AF54" i="26" s="1"/>
  <c r="K54" i="26"/>
  <c r="G54" i="26"/>
  <c r="V53" i="26"/>
  <c r="U53" i="26"/>
  <c r="O53" i="26"/>
  <c r="M53" i="26"/>
  <c r="AE53" i="26" s="1"/>
  <c r="K53" i="26"/>
  <c r="G53" i="26"/>
  <c r="AF52" i="26"/>
  <c r="AE52" i="26"/>
  <c r="V52" i="26"/>
  <c r="U52" i="26"/>
  <c r="P52" i="26"/>
  <c r="O52" i="26"/>
  <c r="N52" i="26"/>
  <c r="Q52" i="26" s="1"/>
  <c r="M52" i="26"/>
  <c r="K52" i="26"/>
  <c r="G52" i="26"/>
  <c r="AF51" i="26"/>
  <c r="AE51" i="26"/>
  <c r="V51" i="26"/>
  <c r="U51" i="26"/>
  <c r="O51" i="26"/>
  <c r="M51" i="26"/>
  <c r="N51" i="26" s="1"/>
  <c r="K51" i="26"/>
  <c r="G51" i="26"/>
  <c r="V50" i="26"/>
  <c r="M50" i="26" s="1"/>
  <c r="U50" i="26"/>
  <c r="O50" i="26"/>
  <c r="K50" i="26"/>
  <c r="G50" i="26"/>
  <c r="V49" i="26"/>
  <c r="M49" i="26" s="1"/>
  <c r="O49" i="26"/>
  <c r="K49" i="26"/>
  <c r="G49" i="26"/>
  <c r="AD48" i="26"/>
  <c r="Z48" i="26"/>
  <c r="Y48" i="26"/>
  <c r="O48" i="26"/>
  <c r="K48" i="26"/>
  <c r="V47" i="26"/>
  <c r="M47" i="26" s="1"/>
  <c r="U47" i="26"/>
  <c r="O47" i="26"/>
  <c r="K47" i="26"/>
  <c r="G47" i="26"/>
  <c r="V46" i="26"/>
  <c r="M46" i="26" s="1"/>
  <c r="U46" i="26"/>
  <c r="O46" i="26"/>
  <c r="K46" i="26"/>
  <c r="G46" i="26"/>
  <c r="V45" i="26"/>
  <c r="M45" i="26" s="1"/>
  <c r="U45" i="26"/>
  <c r="O45" i="26"/>
  <c r="K45" i="26"/>
  <c r="G45" i="26"/>
  <c r="X44" i="26"/>
  <c r="W44" i="26"/>
  <c r="V44" i="26"/>
  <c r="M44" i="26" s="1"/>
  <c r="O44" i="26"/>
  <c r="K44" i="26"/>
  <c r="G44" i="26"/>
  <c r="AD43" i="26"/>
  <c r="Z43" i="26"/>
  <c r="L19" i="25" s="1"/>
  <c r="Y43" i="26"/>
  <c r="O43" i="26"/>
  <c r="K43" i="26"/>
  <c r="V42" i="26"/>
  <c r="M42" i="26" s="1"/>
  <c r="U42" i="26"/>
  <c r="O42" i="26"/>
  <c r="K42" i="26"/>
  <c r="AE41" i="26"/>
  <c r="V41" i="26"/>
  <c r="U41" i="26"/>
  <c r="P41" i="26"/>
  <c r="O41" i="26"/>
  <c r="N41" i="26"/>
  <c r="Q41" i="26" s="1"/>
  <c r="M41" i="26"/>
  <c r="AF41" i="26" s="1"/>
  <c r="K41" i="26"/>
  <c r="V40" i="26"/>
  <c r="U40" i="26"/>
  <c r="O40" i="26"/>
  <c r="M40" i="26"/>
  <c r="AF40" i="26" s="1"/>
  <c r="K40" i="26"/>
  <c r="X39" i="26"/>
  <c r="W39" i="26"/>
  <c r="V39" i="26"/>
  <c r="U39" i="26"/>
  <c r="O39" i="26"/>
  <c r="M39" i="26"/>
  <c r="N39" i="26" s="1"/>
  <c r="K39" i="26"/>
  <c r="AF38" i="26"/>
  <c r="AE38" i="26"/>
  <c r="V38" i="26"/>
  <c r="U38" i="26"/>
  <c r="P38" i="26"/>
  <c r="O38" i="26"/>
  <c r="N38" i="26"/>
  <c r="Q38" i="26" s="1"/>
  <c r="M38" i="26"/>
  <c r="K38" i="26"/>
  <c r="V37" i="26"/>
  <c r="M37" i="26" s="1"/>
  <c r="U37" i="26"/>
  <c r="O37" i="26"/>
  <c r="K37" i="26"/>
  <c r="X36" i="26"/>
  <c r="W36" i="26"/>
  <c r="V36" i="26"/>
  <c r="M36" i="26" s="1"/>
  <c r="O36" i="26"/>
  <c r="AD35" i="26"/>
  <c r="K21" i="25" s="1"/>
  <c r="Z35" i="26"/>
  <c r="Y35" i="26"/>
  <c r="O35" i="26"/>
  <c r="K35" i="26"/>
  <c r="V34" i="26"/>
  <c r="M34" i="26" s="1"/>
  <c r="U34" i="26"/>
  <c r="O34" i="26"/>
  <c r="K34" i="26"/>
  <c r="G34" i="26"/>
  <c r="V33" i="26"/>
  <c r="M33" i="26" s="1"/>
  <c r="U33" i="26"/>
  <c r="O33" i="26"/>
  <c r="K33" i="26"/>
  <c r="G33" i="26"/>
  <c r="AF32" i="26"/>
  <c r="V32" i="26"/>
  <c r="U32" i="26"/>
  <c r="Q32" i="26"/>
  <c r="P32" i="26"/>
  <c r="O32" i="26"/>
  <c r="N32" i="26"/>
  <c r="M32" i="26"/>
  <c r="AE32" i="26" s="1"/>
  <c r="K32" i="26"/>
  <c r="G32" i="26"/>
  <c r="X31" i="26"/>
  <c r="W31" i="26"/>
  <c r="V31" i="26"/>
  <c r="M31" i="26" s="1"/>
  <c r="U31" i="26"/>
  <c r="O31" i="26"/>
  <c r="K31" i="26"/>
  <c r="G31" i="26"/>
  <c r="AF30" i="26"/>
  <c r="V30" i="26"/>
  <c r="U30" i="26"/>
  <c r="Q30" i="26"/>
  <c r="P30" i="26"/>
  <c r="O30" i="26"/>
  <c r="N30" i="26"/>
  <c r="M30" i="26"/>
  <c r="AE30" i="26" s="1"/>
  <c r="K30" i="26"/>
  <c r="G30" i="26"/>
  <c r="AE29" i="26"/>
  <c r="V29" i="26"/>
  <c r="U29" i="26"/>
  <c r="P29" i="26"/>
  <c r="O29" i="26"/>
  <c r="N29" i="26"/>
  <c r="Q29" i="26" s="1"/>
  <c r="M29" i="26"/>
  <c r="AF29" i="26" s="1"/>
  <c r="K29" i="26"/>
  <c r="G29" i="26"/>
  <c r="X28" i="26"/>
  <c r="W28" i="26"/>
  <c r="V28" i="26"/>
  <c r="M28" i="26" s="1"/>
  <c r="O28" i="26"/>
  <c r="K28" i="26"/>
  <c r="G28" i="26"/>
  <c r="AD27" i="26"/>
  <c r="Z27" i="26"/>
  <c r="Y27" i="26"/>
  <c r="O27" i="26"/>
  <c r="K27" i="26"/>
  <c r="AE26" i="26"/>
  <c r="V26" i="26"/>
  <c r="U26" i="26"/>
  <c r="P26" i="26"/>
  <c r="O26" i="26"/>
  <c r="N26" i="26"/>
  <c r="Q26" i="26" s="1"/>
  <c r="M26" i="26"/>
  <c r="AF26" i="26" s="1"/>
  <c r="K26" i="26"/>
  <c r="G26" i="26"/>
  <c r="V25" i="26"/>
  <c r="M25" i="26" s="1"/>
  <c r="U25" i="26"/>
  <c r="O25" i="26"/>
  <c r="K25" i="26"/>
  <c r="G25" i="26"/>
  <c r="V24" i="26"/>
  <c r="U24" i="26"/>
  <c r="O24" i="26"/>
  <c r="M24" i="26"/>
  <c r="AF24" i="26" s="1"/>
  <c r="K24" i="26"/>
  <c r="G24" i="26"/>
  <c r="V23" i="26"/>
  <c r="U23" i="26"/>
  <c r="O23" i="26"/>
  <c r="M23" i="26"/>
  <c r="AE23" i="26" s="1"/>
  <c r="K23" i="26"/>
  <c r="G23" i="26"/>
  <c r="AF22" i="26"/>
  <c r="AE22" i="26"/>
  <c r="V22" i="26"/>
  <c r="U22" i="26"/>
  <c r="P22" i="26"/>
  <c r="O22" i="26"/>
  <c r="N22" i="26"/>
  <c r="Q22" i="26" s="1"/>
  <c r="M22" i="26"/>
  <c r="K22" i="26"/>
  <c r="G22" i="26"/>
  <c r="AF21" i="26"/>
  <c r="AE21" i="26"/>
  <c r="V21" i="26"/>
  <c r="P21" i="26"/>
  <c r="O21" i="26"/>
  <c r="N21" i="26"/>
  <c r="Q21" i="26" s="1"/>
  <c r="M21" i="26"/>
  <c r="K21" i="26"/>
  <c r="G21" i="26"/>
  <c r="AD20" i="26"/>
  <c r="Z20" i="26"/>
  <c r="Y20" i="26"/>
  <c r="O20" i="26"/>
  <c r="K20" i="26"/>
  <c r="V19" i="26"/>
  <c r="M19" i="26" s="1"/>
  <c r="U19" i="26"/>
  <c r="O19" i="26"/>
  <c r="K19" i="26"/>
  <c r="G19" i="26"/>
  <c r="AE18" i="26"/>
  <c r="V18" i="26"/>
  <c r="U18" i="26"/>
  <c r="O18" i="26"/>
  <c r="M18" i="26"/>
  <c r="N18" i="26" s="1"/>
  <c r="K18" i="26"/>
  <c r="G18" i="26"/>
  <c r="V17" i="26"/>
  <c r="M17" i="26" s="1"/>
  <c r="U17" i="26"/>
  <c r="O17" i="26"/>
  <c r="K17" i="26"/>
  <c r="G17" i="26"/>
  <c r="V16" i="26"/>
  <c r="M16" i="26" s="1"/>
  <c r="U16" i="26"/>
  <c r="O16" i="26"/>
  <c r="K16" i="26"/>
  <c r="G16" i="26"/>
  <c r="V15" i="26"/>
  <c r="M15" i="26" s="1"/>
  <c r="O15" i="26"/>
  <c r="K15" i="26"/>
  <c r="G15" i="26"/>
  <c r="F1" i="26" s="1"/>
  <c r="AD14" i="26"/>
  <c r="Z14" i="26"/>
  <c r="E19" i="25" s="1"/>
  <c r="Y14" i="26"/>
  <c r="E18" i="25" s="1"/>
  <c r="O14" i="26"/>
  <c r="K14" i="26"/>
  <c r="AF13" i="26"/>
  <c r="V13" i="26"/>
  <c r="U13" i="26"/>
  <c r="Q13" i="26"/>
  <c r="P13" i="26"/>
  <c r="O13" i="26"/>
  <c r="N13" i="26"/>
  <c r="M13" i="26"/>
  <c r="AE13" i="26" s="1"/>
  <c r="K13" i="26"/>
  <c r="G13" i="26"/>
  <c r="X12" i="26"/>
  <c r="W12" i="26"/>
  <c r="V12" i="26"/>
  <c r="M12" i="26" s="1"/>
  <c r="U12" i="26"/>
  <c r="O12" i="26"/>
  <c r="K12" i="26"/>
  <c r="G12" i="26"/>
  <c r="V11" i="26"/>
  <c r="M11" i="26" s="1"/>
  <c r="O11" i="26"/>
  <c r="K11" i="26"/>
  <c r="G11" i="26"/>
  <c r="AD10" i="26"/>
  <c r="AD2" i="26" s="1"/>
  <c r="N6" i="25" s="1"/>
  <c r="Z10" i="26"/>
  <c r="Z2" i="26" s="1"/>
  <c r="L6" i="25" s="1"/>
  <c r="Y10" i="26"/>
  <c r="Y2" i="26" s="1"/>
  <c r="K6" i="25" s="1"/>
  <c r="O10" i="26"/>
  <c r="K10" i="26"/>
  <c r="AE9" i="26"/>
  <c r="V9" i="26"/>
  <c r="U9" i="26"/>
  <c r="P9" i="26"/>
  <c r="O9" i="26"/>
  <c r="N9" i="26"/>
  <c r="Q9" i="26" s="1"/>
  <c r="M9" i="26"/>
  <c r="AF9" i="26" s="1"/>
  <c r="K9" i="26"/>
  <c r="G9" i="26"/>
  <c r="X8" i="26"/>
  <c r="W8" i="26"/>
  <c r="V8" i="26"/>
  <c r="U8" i="26"/>
  <c r="Q8" i="26"/>
  <c r="P8" i="26"/>
  <c r="O8" i="26"/>
  <c r="N8" i="26"/>
  <c r="M8" i="26"/>
  <c r="AF8" i="26" s="1"/>
  <c r="K8" i="26"/>
  <c r="G8" i="26"/>
  <c r="AE7" i="26"/>
  <c r="V7" i="26"/>
  <c r="U7" i="26"/>
  <c r="P7" i="26"/>
  <c r="O7" i="26"/>
  <c r="N7" i="26"/>
  <c r="Q7" i="26" s="1"/>
  <c r="M7" i="26"/>
  <c r="AF7" i="26" s="1"/>
  <c r="K7" i="26"/>
  <c r="G7" i="26"/>
  <c r="V6" i="26"/>
  <c r="M6" i="26" s="1"/>
  <c r="U6" i="26"/>
  <c r="O6" i="26"/>
  <c r="K6" i="26"/>
  <c r="G6" i="26"/>
  <c r="V5" i="26"/>
  <c r="M5" i="26" s="1"/>
  <c r="O5" i="26"/>
  <c r="K5" i="26"/>
  <c r="G5" i="26"/>
  <c r="H2" i="26"/>
  <c r="H1" i="26"/>
  <c r="D1" i="26"/>
  <c r="F3" i="25" s="1"/>
  <c r="M22" i="25"/>
  <c r="L22" i="25"/>
  <c r="K22" i="25"/>
  <c r="J22" i="25"/>
  <c r="I22" i="25"/>
  <c r="H22" i="25"/>
  <c r="G22" i="25"/>
  <c r="F22" i="25"/>
  <c r="E22" i="25"/>
  <c r="D22" i="25"/>
  <c r="M21" i="25"/>
  <c r="L21" i="25"/>
  <c r="J21" i="25"/>
  <c r="I21" i="25"/>
  <c r="H21" i="25"/>
  <c r="G21" i="25"/>
  <c r="F21" i="25"/>
  <c r="E21" i="25"/>
  <c r="D21" i="25"/>
  <c r="M20" i="25"/>
  <c r="L20" i="25"/>
  <c r="K20" i="25"/>
  <c r="J20" i="25"/>
  <c r="I20" i="25"/>
  <c r="H20" i="25"/>
  <c r="G20" i="25"/>
  <c r="F20" i="25"/>
  <c r="E20" i="25"/>
  <c r="D20" i="25"/>
  <c r="M19" i="25"/>
  <c r="K19" i="25"/>
  <c r="J19" i="25"/>
  <c r="I19" i="25"/>
  <c r="H19" i="25"/>
  <c r="G19" i="25"/>
  <c r="F19" i="25"/>
  <c r="D19" i="25"/>
  <c r="M18" i="25"/>
  <c r="L18" i="25"/>
  <c r="K18" i="25"/>
  <c r="J18" i="25"/>
  <c r="I18" i="25"/>
  <c r="H18" i="25"/>
  <c r="G18" i="25"/>
  <c r="F18" i="25"/>
  <c r="D18" i="25"/>
  <c r="M17" i="25"/>
  <c r="L17" i="25"/>
  <c r="K17" i="25"/>
  <c r="J17" i="25"/>
  <c r="I17" i="25"/>
  <c r="H17" i="25"/>
  <c r="G17" i="25"/>
  <c r="F17" i="25"/>
  <c r="E17" i="25"/>
  <c r="D17" i="25"/>
  <c r="M16" i="25"/>
  <c r="L16" i="25"/>
  <c r="K16" i="25"/>
  <c r="J16" i="25"/>
  <c r="I16" i="25"/>
  <c r="H16" i="25"/>
  <c r="G16" i="25"/>
  <c r="F16" i="25"/>
  <c r="E16" i="25"/>
  <c r="D16" i="25"/>
  <c r="M13" i="25"/>
  <c r="L13" i="25"/>
  <c r="K13" i="25"/>
  <c r="I6" i="25" s="1"/>
  <c r="J13" i="25"/>
  <c r="I13" i="25"/>
  <c r="H13" i="25"/>
  <c r="G6" i="25" s="1"/>
  <c r="G13" i="25"/>
  <c r="F13" i="25"/>
  <c r="E13" i="25"/>
  <c r="D13" i="25"/>
  <c r="M6" i="25"/>
  <c r="C3" i="25"/>
  <c r="E8" i="37" l="1"/>
  <c r="G8" i="37"/>
  <c r="F8" i="37"/>
  <c r="K15" i="35"/>
  <c r="I8" i="35" s="1"/>
  <c r="I7" i="35"/>
  <c r="E7" i="35"/>
  <c r="D15" i="35"/>
  <c r="F7" i="35"/>
  <c r="G7" i="35"/>
  <c r="Q72" i="34"/>
  <c r="R63" i="34" s="1"/>
  <c r="P72" i="34"/>
  <c r="M14" i="33"/>
  <c r="M15" i="33" s="1"/>
  <c r="Q62" i="34"/>
  <c r="R56" i="34" s="1"/>
  <c r="P62" i="34"/>
  <c r="J14" i="33"/>
  <c r="J15" i="33" s="1"/>
  <c r="D2" i="34"/>
  <c r="Q8" i="34"/>
  <c r="R5" i="34" s="1"/>
  <c r="D14" i="33"/>
  <c r="P8" i="34"/>
  <c r="P45" i="34"/>
  <c r="H14" i="33"/>
  <c r="H15" i="33" s="1"/>
  <c r="Q45" i="34"/>
  <c r="R41" i="34" s="1"/>
  <c r="Q24" i="34"/>
  <c r="R18" i="34" s="1"/>
  <c r="P24" i="34"/>
  <c r="G14" i="33"/>
  <c r="G15" i="33" s="1"/>
  <c r="Q55" i="34"/>
  <c r="R46" i="34" s="1"/>
  <c r="P55" i="34"/>
  <c r="I14" i="33"/>
  <c r="I15" i="33" s="1"/>
  <c r="F14" i="33"/>
  <c r="F15" i="33" s="1"/>
  <c r="Q17" i="34"/>
  <c r="R13" i="34" s="1"/>
  <c r="P17" i="34"/>
  <c r="P12" i="34"/>
  <c r="E14" i="33"/>
  <c r="E15" i="33" s="1"/>
  <c r="Q12" i="34"/>
  <c r="R9" i="34" s="1"/>
  <c r="K14" i="33"/>
  <c r="Q33" i="34"/>
  <c r="R25" i="34" s="1"/>
  <c r="P33" i="34"/>
  <c r="L14" i="33"/>
  <c r="L15" i="33" s="1"/>
  <c r="Q40" i="34"/>
  <c r="R34" i="34" s="1"/>
  <c r="P40" i="34"/>
  <c r="Q12" i="32"/>
  <c r="P12" i="32"/>
  <c r="Q33" i="32"/>
  <c r="P33" i="32"/>
  <c r="P66" i="32"/>
  <c r="Q66" i="32"/>
  <c r="Q27" i="32"/>
  <c r="P27" i="32"/>
  <c r="Q30" i="32"/>
  <c r="P30" i="32"/>
  <c r="P57" i="32"/>
  <c r="Q57" i="32"/>
  <c r="AF36" i="32"/>
  <c r="AG27" i="32" s="1"/>
  <c r="AE36" i="32"/>
  <c r="N36" i="32"/>
  <c r="Q34" i="32"/>
  <c r="P34" i="32"/>
  <c r="Q39" i="32"/>
  <c r="P39" i="32"/>
  <c r="Q70" i="32"/>
  <c r="P70" i="32"/>
  <c r="Q67" i="32"/>
  <c r="P67" i="32"/>
  <c r="Q15" i="32"/>
  <c r="P15" i="32"/>
  <c r="Q9" i="32"/>
  <c r="R5" i="32" s="1"/>
  <c r="P9" i="32"/>
  <c r="D14" i="31"/>
  <c r="P41" i="32"/>
  <c r="Q41" i="32"/>
  <c r="N50" i="32"/>
  <c r="AE50" i="32"/>
  <c r="AF50" i="32"/>
  <c r="AG46" i="32" s="1"/>
  <c r="Q59" i="32"/>
  <c r="P59" i="32"/>
  <c r="Q52" i="32"/>
  <c r="P52" i="32"/>
  <c r="Q71" i="32"/>
  <c r="P71" i="32"/>
  <c r="Q18" i="32"/>
  <c r="P18" i="32"/>
  <c r="Q42" i="32"/>
  <c r="P42" i="32"/>
  <c r="AF26" i="32"/>
  <c r="AG20" i="32" s="1"/>
  <c r="AE26" i="32"/>
  <c r="N26" i="32"/>
  <c r="AE61" i="32"/>
  <c r="AF61" i="32"/>
  <c r="AG51" i="32" s="1"/>
  <c r="N61" i="32"/>
  <c r="N45" i="32"/>
  <c r="AF45" i="32"/>
  <c r="AG37" i="32" s="1"/>
  <c r="AE45" i="32"/>
  <c r="P21" i="32"/>
  <c r="Q21" i="32"/>
  <c r="P8" i="32"/>
  <c r="Q8" i="32"/>
  <c r="Q40" i="32"/>
  <c r="P40" i="32"/>
  <c r="P20" i="32"/>
  <c r="Q20" i="32"/>
  <c r="Q10" i="32"/>
  <c r="P10" i="32"/>
  <c r="Q60" i="32"/>
  <c r="P60" i="32"/>
  <c r="Q75" i="32"/>
  <c r="P75" i="32"/>
  <c r="Q47" i="32"/>
  <c r="P47" i="32"/>
  <c r="P19" i="32"/>
  <c r="Q19" i="32"/>
  <c r="R14" i="32" s="1"/>
  <c r="F14" i="31"/>
  <c r="F15" i="31" s="1"/>
  <c r="Q46" i="32"/>
  <c r="P46" i="32"/>
  <c r="AF76" i="32"/>
  <c r="AG69" i="32" s="1"/>
  <c r="AE76" i="32"/>
  <c r="N76" i="32"/>
  <c r="P28" i="32"/>
  <c r="Q28" i="32"/>
  <c r="P72" i="32"/>
  <c r="Q72" i="32"/>
  <c r="Q51" i="32"/>
  <c r="P51" i="32"/>
  <c r="Q29" i="32"/>
  <c r="P29" i="32"/>
  <c r="N13" i="32"/>
  <c r="AF13" i="32"/>
  <c r="AG10" i="32" s="1"/>
  <c r="AE13" i="32"/>
  <c r="P69" i="32"/>
  <c r="Q69" i="32"/>
  <c r="N68" i="32"/>
  <c r="AF68" i="32"/>
  <c r="AG62" i="32" s="1"/>
  <c r="AE68" i="32"/>
  <c r="P25" i="32"/>
  <c r="Q25" i="32"/>
  <c r="Q62" i="32"/>
  <c r="P62" i="32"/>
  <c r="P74" i="32"/>
  <c r="Q74" i="32"/>
  <c r="P43" i="32"/>
  <c r="Q43" i="32"/>
  <c r="AF59" i="26"/>
  <c r="AE59" i="26"/>
  <c r="N59" i="26"/>
  <c r="AF42" i="26"/>
  <c r="AE42" i="26"/>
  <c r="N42" i="26"/>
  <c r="AF57" i="26"/>
  <c r="AE57" i="26"/>
  <c r="M63" i="26"/>
  <c r="N57" i="26"/>
  <c r="N64" i="26"/>
  <c r="AF64" i="26"/>
  <c r="M72" i="26"/>
  <c r="AE64" i="26"/>
  <c r="N69" i="26"/>
  <c r="AF69" i="26"/>
  <c r="AE69" i="26"/>
  <c r="M27" i="26"/>
  <c r="N49" i="26"/>
  <c r="AE49" i="26"/>
  <c r="AF49" i="26"/>
  <c r="M56" i="26"/>
  <c r="P62" i="26"/>
  <c r="Q62" i="26"/>
  <c r="AF6" i="26"/>
  <c r="AE6" i="26"/>
  <c r="N6" i="26"/>
  <c r="N66" i="26"/>
  <c r="AE66" i="26"/>
  <c r="AF66" i="26"/>
  <c r="AF45" i="26"/>
  <c r="AE45" i="26"/>
  <c r="N45" i="26"/>
  <c r="N50" i="26"/>
  <c r="AE50" i="26"/>
  <c r="AF50" i="26"/>
  <c r="M10" i="26"/>
  <c r="AF5" i="26"/>
  <c r="AE5" i="26"/>
  <c r="N5" i="26"/>
  <c r="AF25" i="26"/>
  <c r="AE25" i="26"/>
  <c r="N25" i="26"/>
  <c r="N16" i="26"/>
  <c r="AF16" i="26"/>
  <c r="AE16" i="26"/>
  <c r="F2" i="26"/>
  <c r="I3" i="25"/>
  <c r="AF28" i="26"/>
  <c r="M35" i="26"/>
  <c r="AE28" i="26"/>
  <c r="N28" i="26"/>
  <c r="N34" i="26"/>
  <c r="AF34" i="26"/>
  <c r="AE34" i="26"/>
  <c r="Q39" i="26"/>
  <c r="P39" i="26"/>
  <c r="N47" i="26"/>
  <c r="AF47" i="26"/>
  <c r="AE47" i="26"/>
  <c r="M14" i="26"/>
  <c r="AF11" i="26"/>
  <c r="AE11" i="26"/>
  <c r="N11" i="26"/>
  <c r="N17" i="26"/>
  <c r="AF17" i="26"/>
  <c r="AE17" i="26"/>
  <c r="N19" i="26"/>
  <c r="AE19" i="26"/>
  <c r="AF19" i="26"/>
  <c r="N37" i="26"/>
  <c r="AE37" i="26"/>
  <c r="AF37" i="26"/>
  <c r="AF55" i="26"/>
  <c r="AE55" i="26"/>
  <c r="N55" i="26"/>
  <c r="N60" i="26"/>
  <c r="AF60" i="26"/>
  <c r="AE60" i="26"/>
  <c r="P65" i="26"/>
  <c r="Q65" i="26"/>
  <c r="Q51" i="26"/>
  <c r="P51" i="26"/>
  <c r="N67" i="26"/>
  <c r="AF67" i="26"/>
  <c r="AE67" i="26"/>
  <c r="N61" i="26"/>
  <c r="AF61" i="26"/>
  <c r="AE61" i="26"/>
  <c r="AF31" i="26"/>
  <c r="AE31" i="26"/>
  <c r="N31" i="26"/>
  <c r="N15" i="26"/>
  <c r="AF15" i="26"/>
  <c r="M20" i="26"/>
  <c r="AE15" i="26"/>
  <c r="AF58" i="26"/>
  <c r="AE58" i="26"/>
  <c r="N58" i="26"/>
  <c r="P18" i="26"/>
  <c r="Q18" i="26"/>
  <c r="AF12" i="26"/>
  <c r="AE12" i="26"/>
  <c r="N12" i="26"/>
  <c r="AF33" i="26"/>
  <c r="AE33" i="26"/>
  <c r="N33" i="26"/>
  <c r="M43" i="26"/>
  <c r="N36" i="26"/>
  <c r="AF36" i="26"/>
  <c r="AE36" i="26"/>
  <c r="N44" i="26"/>
  <c r="M48" i="26"/>
  <c r="AF44" i="26"/>
  <c r="AE44" i="26"/>
  <c r="N46" i="26"/>
  <c r="AF46" i="26"/>
  <c r="AE46" i="26"/>
  <c r="AF23" i="26"/>
  <c r="AE39" i="26"/>
  <c r="AF53" i="26"/>
  <c r="AF71" i="26"/>
  <c r="F6" i="25"/>
  <c r="AF39" i="26"/>
  <c r="E6" i="25"/>
  <c r="AF18" i="26"/>
  <c r="N24" i="26"/>
  <c r="N40" i="26"/>
  <c r="N54" i="26"/>
  <c r="AF62" i="26"/>
  <c r="AF65" i="26"/>
  <c r="N23" i="26"/>
  <c r="N53" i="26"/>
  <c r="N71" i="26"/>
  <c r="AE8" i="26"/>
  <c r="AE24" i="26"/>
  <c r="AE40" i="26"/>
  <c r="AE54" i="26"/>
  <c r="E8" i="35" l="1"/>
  <c r="G8" i="35"/>
  <c r="F8" i="35"/>
  <c r="D15" i="33"/>
  <c r="G7" i="33"/>
  <c r="F7" i="33"/>
  <c r="E7" i="33"/>
  <c r="I7" i="33"/>
  <c r="K15" i="33"/>
  <c r="I8" i="33" s="1"/>
  <c r="Q50" i="32"/>
  <c r="R46" i="32" s="1"/>
  <c r="P50" i="32"/>
  <c r="H14" i="31"/>
  <c r="H15" i="31" s="1"/>
  <c r="D15" i="31"/>
  <c r="Q36" i="32"/>
  <c r="R27" i="32" s="1"/>
  <c r="P36" i="32"/>
  <c r="K14" i="31"/>
  <c r="Q13" i="32"/>
  <c r="R10" i="32" s="1"/>
  <c r="P13" i="32"/>
  <c r="E14" i="31"/>
  <c r="E15" i="31" s="1"/>
  <c r="I14" i="31"/>
  <c r="I15" i="31" s="1"/>
  <c r="Q61" i="32"/>
  <c r="R51" i="32" s="1"/>
  <c r="P61" i="32"/>
  <c r="Q26" i="32"/>
  <c r="R20" i="32" s="1"/>
  <c r="G14" i="31"/>
  <c r="G15" i="31" s="1"/>
  <c r="P26" i="32"/>
  <c r="Q68" i="32"/>
  <c r="R62" i="32" s="1"/>
  <c r="P68" i="32"/>
  <c r="J14" i="31"/>
  <c r="J15" i="31" s="1"/>
  <c r="Q76" i="32"/>
  <c r="R69" i="32" s="1"/>
  <c r="P76" i="32"/>
  <c r="M14" i="31"/>
  <c r="M15" i="31" s="1"/>
  <c r="D2" i="32"/>
  <c r="P45" i="32"/>
  <c r="L14" i="31"/>
  <c r="L15" i="31" s="1"/>
  <c r="Q45" i="32"/>
  <c r="R37" i="32" s="1"/>
  <c r="Q50" i="26"/>
  <c r="P50" i="26"/>
  <c r="AF56" i="26"/>
  <c r="AG49" i="26" s="1"/>
  <c r="AE56" i="26"/>
  <c r="N56" i="26"/>
  <c r="P33" i="26"/>
  <c r="Q33" i="26"/>
  <c r="P31" i="26"/>
  <c r="Q31" i="26"/>
  <c r="Q24" i="26"/>
  <c r="P24" i="26"/>
  <c r="Q25" i="26"/>
  <c r="P25" i="26"/>
  <c r="Q49" i="26"/>
  <c r="P49" i="26"/>
  <c r="N20" i="26"/>
  <c r="AF20" i="26"/>
  <c r="AG15" i="26" s="1"/>
  <c r="AE20" i="26"/>
  <c r="Q47" i="26"/>
  <c r="P47" i="26"/>
  <c r="P45" i="26"/>
  <c r="Q45" i="26"/>
  <c r="P12" i="26"/>
  <c r="Q12" i="26"/>
  <c r="P42" i="26"/>
  <c r="Q42" i="26"/>
  <c r="N43" i="26"/>
  <c r="AF43" i="26"/>
  <c r="AG36" i="26" s="1"/>
  <c r="AE43" i="26"/>
  <c r="Q37" i="26"/>
  <c r="P37" i="26"/>
  <c r="Q57" i="26"/>
  <c r="P57" i="26"/>
  <c r="Q15" i="26"/>
  <c r="P15" i="26"/>
  <c r="Q16" i="26"/>
  <c r="P16" i="26"/>
  <c r="Q60" i="26"/>
  <c r="P60" i="26"/>
  <c r="Q34" i="26"/>
  <c r="P34" i="26"/>
  <c r="Q40" i="26"/>
  <c r="P40" i="26"/>
  <c r="AF27" i="26"/>
  <c r="AG21" i="26" s="1"/>
  <c r="AE27" i="26"/>
  <c r="N27" i="26"/>
  <c r="Q17" i="26"/>
  <c r="P17" i="26"/>
  <c r="Q44" i="26"/>
  <c r="P44" i="26"/>
  <c r="Q55" i="26"/>
  <c r="P55" i="26"/>
  <c r="P11" i="26"/>
  <c r="Q11" i="26"/>
  <c r="P28" i="26"/>
  <c r="Q28" i="26"/>
  <c r="Q5" i="26"/>
  <c r="P5" i="26"/>
  <c r="Q66" i="26"/>
  <c r="P66" i="26"/>
  <c r="Q6" i="26"/>
  <c r="P6" i="26"/>
  <c r="Q69" i="26"/>
  <c r="P69" i="26"/>
  <c r="P59" i="26"/>
  <c r="Q59" i="26"/>
  <c r="Q23" i="26"/>
  <c r="P23" i="26"/>
  <c r="Q54" i="26"/>
  <c r="P54" i="26"/>
  <c r="N48" i="26"/>
  <c r="AF48" i="26"/>
  <c r="AG44" i="26" s="1"/>
  <c r="AE48" i="26"/>
  <c r="Q61" i="26"/>
  <c r="P61" i="26"/>
  <c r="Q71" i="26"/>
  <c r="P71" i="26"/>
  <c r="N35" i="26"/>
  <c r="AF35" i="26"/>
  <c r="AG28" i="26" s="1"/>
  <c r="AE35" i="26"/>
  <c r="Q67" i="26"/>
  <c r="P67" i="26"/>
  <c r="Q64" i="26"/>
  <c r="P64" i="26"/>
  <c r="N63" i="26"/>
  <c r="AE63" i="26"/>
  <c r="AF63" i="26"/>
  <c r="AG57" i="26" s="1"/>
  <c r="Q46" i="26"/>
  <c r="P46" i="26"/>
  <c r="Q19" i="26"/>
  <c r="P19" i="26"/>
  <c r="Q58" i="26"/>
  <c r="P58" i="26"/>
  <c r="Q53" i="26"/>
  <c r="P53" i="26"/>
  <c r="Q36" i="26"/>
  <c r="P36" i="26"/>
  <c r="N14" i="26"/>
  <c r="AF14" i="26"/>
  <c r="AG11" i="26" s="1"/>
  <c r="AE14" i="26"/>
  <c r="AF10" i="26"/>
  <c r="AG5" i="26" s="1"/>
  <c r="AE10" i="26"/>
  <c r="N10" i="26"/>
  <c r="AF72" i="26"/>
  <c r="AG64" i="26" s="1"/>
  <c r="AE72" i="26"/>
  <c r="N72" i="26"/>
  <c r="G8" i="33" l="1"/>
  <c r="F8" i="33"/>
  <c r="E8" i="33"/>
  <c r="K15" i="31"/>
  <c r="I8" i="31" s="1"/>
  <c r="I7" i="31"/>
  <c r="G8" i="31"/>
  <c r="F8" i="31"/>
  <c r="E8" i="31"/>
  <c r="E7" i="31"/>
  <c r="F7" i="31"/>
  <c r="G7" i="31"/>
  <c r="Q72" i="26"/>
  <c r="R64" i="26" s="1"/>
  <c r="P72" i="26"/>
  <c r="M14" i="25"/>
  <c r="M15" i="25" s="1"/>
  <c r="P27" i="26"/>
  <c r="G14" i="25"/>
  <c r="G15" i="25" s="1"/>
  <c r="Q27" i="26"/>
  <c r="R21" i="26" s="1"/>
  <c r="Q48" i="26"/>
  <c r="R44" i="26" s="1"/>
  <c r="P48" i="26"/>
  <c r="H14" i="25"/>
  <c r="H15" i="25" s="1"/>
  <c r="P35" i="26"/>
  <c r="K14" i="25"/>
  <c r="Q35" i="26"/>
  <c r="R28" i="26" s="1"/>
  <c r="Q56" i="26"/>
  <c r="R49" i="26" s="1"/>
  <c r="I14" i="25"/>
  <c r="I15" i="25" s="1"/>
  <c r="P56" i="26"/>
  <c r="Q20" i="26"/>
  <c r="R15" i="26" s="1"/>
  <c r="P20" i="26"/>
  <c r="F14" i="25"/>
  <c r="F15" i="25" s="1"/>
  <c r="Q14" i="26"/>
  <c r="R11" i="26" s="1"/>
  <c r="P14" i="26"/>
  <c r="E14" i="25"/>
  <c r="E15" i="25" s="1"/>
  <c r="D2" i="26"/>
  <c r="P10" i="26"/>
  <c r="D14" i="25"/>
  <c r="Q10" i="26"/>
  <c r="R5" i="26" s="1"/>
  <c r="L14" i="25"/>
  <c r="L15" i="25" s="1"/>
  <c r="Q43" i="26"/>
  <c r="R36" i="26" s="1"/>
  <c r="P43" i="26"/>
  <c r="Q63" i="26"/>
  <c r="R57" i="26" s="1"/>
  <c r="P63" i="26"/>
  <c r="J14" i="25"/>
  <c r="J15" i="25" s="1"/>
  <c r="K15" i="25" l="1"/>
  <c r="I8" i="25" s="1"/>
  <c r="I7" i="25"/>
  <c r="G7" i="25"/>
  <c r="F7" i="25"/>
  <c r="E7" i="25"/>
  <c r="D15" i="25"/>
  <c r="G8" i="25" l="1"/>
  <c r="E8" i="25"/>
  <c r="F8" i="25"/>
  <c r="AD73" i="24" l="1"/>
  <c r="Z73" i="24"/>
  <c r="Y73" i="24"/>
  <c r="O73" i="24"/>
  <c r="K73" i="24"/>
  <c r="V72" i="24"/>
  <c r="U72" i="24"/>
  <c r="O72" i="24"/>
  <c r="M72" i="24"/>
  <c r="AE72" i="24" s="1"/>
  <c r="K72" i="24"/>
  <c r="G72" i="24"/>
  <c r="AF71" i="24"/>
  <c r="AE71" i="24"/>
  <c r="V71" i="24"/>
  <c r="U71" i="24"/>
  <c r="O71" i="24"/>
  <c r="N71" i="24"/>
  <c r="Q71" i="24" s="1"/>
  <c r="M71" i="24"/>
  <c r="K71" i="24"/>
  <c r="P71" i="24" s="1"/>
  <c r="G71" i="24"/>
  <c r="V70" i="24"/>
  <c r="M70" i="24" s="1"/>
  <c r="U70" i="24"/>
  <c r="O70" i="24"/>
  <c r="K70" i="24"/>
  <c r="G70" i="24"/>
  <c r="AF69" i="24"/>
  <c r="AE69" i="24"/>
  <c r="X69" i="24"/>
  <c r="W69" i="24"/>
  <c r="V69" i="24"/>
  <c r="U69" i="24"/>
  <c r="O69" i="24"/>
  <c r="N69" i="24"/>
  <c r="Q69" i="24" s="1"/>
  <c r="M69" i="24"/>
  <c r="K69" i="24"/>
  <c r="P69" i="24" s="1"/>
  <c r="G69" i="24"/>
  <c r="V68" i="24"/>
  <c r="M68" i="24" s="1"/>
  <c r="U68" i="24"/>
  <c r="O68" i="24"/>
  <c r="K68" i="24"/>
  <c r="G68" i="24"/>
  <c r="V67" i="24"/>
  <c r="M67" i="24" s="1"/>
  <c r="U67" i="24"/>
  <c r="O67" i="24"/>
  <c r="K67" i="24"/>
  <c r="G67" i="24"/>
  <c r="AF66" i="24"/>
  <c r="AE66" i="24"/>
  <c r="X66" i="24"/>
  <c r="W66" i="24"/>
  <c r="V66" i="24"/>
  <c r="O66" i="24"/>
  <c r="N66" i="24"/>
  <c r="Q66" i="24" s="1"/>
  <c r="M66" i="24"/>
  <c r="K66" i="24"/>
  <c r="P66" i="24" s="1"/>
  <c r="G66" i="24"/>
  <c r="AD65" i="24"/>
  <c r="Z65" i="24"/>
  <c r="Y65" i="24"/>
  <c r="O65" i="24"/>
  <c r="K65" i="24"/>
  <c r="V64" i="24"/>
  <c r="M64" i="24" s="1"/>
  <c r="U64" i="24"/>
  <c r="O64" i="24"/>
  <c r="K64" i="24"/>
  <c r="G64" i="24"/>
  <c r="AF63" i="24"/>
  <c r="AE63" i="24"/>
  <c r="V63" i="24"/>
  <c r="U63" i="24"/>
  <c r="O63" i="24"/>
  <c r="M63" i="24"/>
  <c r="N63" i="24" s="1"/>
  <c r="K63" i="24"/>
  <c r="G63" i="24"/>
  <c r="V62" i="24"/>
  <c r="M62" i="24" s="1"/>
  <c r="U62" i="24"/>
  <c r="O62" i="24"/>
  <c r="K62" i="24"/>
  <c r="G62" i="24"/>
  <c r="V61" i="24"/>
  <c r="M61" i="24" s="1"/>
  <c r="U61" i="24"/>
  <c r="O61" i="24"/>
  <c r="K61" i="24"/>
  <c r="G61" i="24"/>
  <c r="V60" i="24"/>
  <c r="M60" i="24" s="1"/>
  <c r="U60" i="24"/>
  <c r="O60" i="24"/>
  <c r="K60" i="24"/>
  <c r="G60" i="24"/>
  <c r="V59" i="24"/>
  <c r="M59" i="24" s="1"/>
  <c r="O59" i="24"/>
  <c r="K59" i="24"/>
  <c r="G59" i="24"/>
  <c r="AD58" i="24"/>
  <c r="Z58" i="24"/>
  <c r="Y58" i="24"/>
  <c r="O58" i="24"/>
  <c r="K58" i="24"/>
  <c r="AE57" i="24"/>
  <c r="V57" i="24"/>
  <c r="U57" i="24"/>
  <c r="P57" i="24"/>
  <c r="O57" i="24"/>
  <c r="N57" i="24"/>
  <c r="Q57" i="24" s="1"/>
  <c r="M57" i="24"/>
  <c r="AF57" i="24" s="1"/>
  <c r="K57" i="24"/>
  <c r="G57" i="24"/>
  <c r="V56" i="24"/>
  <c r="M56" i="24" s="1"/>
  <c r="U56" i="24"/>
  <c r="O56" i="24"/>
  <c r="K56" i="24"/>
  <c r="G56" i="24"/>
  <c r="V55" i="24"/>
  <c r="U55" i="24"/>
  <c r="O55" i="24"/>
  <c r="M55" i="24"/>
  <c r="AF55" i="24" s="1"/>
  <c r="K55" i="24"/>
  <c r="G55" i="24"/>
  <c r="V54" i="24"/>
  <c r="U54" i="24"/>
  <c r="O54" i="24"/>
  <c r="M54" i="24"/>
  <c r="AE54" i="24" s="1"/>
  <c r="K54" i="24"/>
  <c r="G54" i="24"/>
  <c r="AF53" i="24"/>
  <c r="AE53" i="24"/>
  <c r="V53" i="24"/>
  <c r="U53" i="24"/>
  <c r="O53" i="24"/>
  <c r="N53" i="24"/>
  <c r="Q53" i="24" s="1"/>
  <c r="M53" i="24"/>
  <c r="K53" i="24"/>
  <c r="P53" i="24" s="1"/>
  <c r="G53" i="24"/>
  <c r="F1" i="24" s="1"/>
  <c r="V52" i="24"/>
  <c r="U52" i="24"/>
  <c r="O52" i="24"/>
  <c r="M52" i="24"/>
  <c r="N52" i="24" s="1"/>
  <c r="K52" i="24"/>
  <c r="G52" i="24"/>
  <c r="V51" i="24"/>
  <c r="O51" i="24"/>
  <c r="M51" i="24"/>
  <c r="M58" i="24" s="1"/>
  <c r="K51" i="24"/>
  <c r="G51" i="24"/>
  <c r="AD50" i="24"/>
  <c r="Z50" i="24"/>
  <c r="Y50" i="24"/>
  <c r="O50" i="24"/>
  <c r="K50" i="24"/>
  <c r="AF49" i="24"/>
  <c r="AE49" i="24"/>
  <c r="V49" i="24"/>
  <c r="U49" i="24"/>
  <c r="O49" i="24"/>
  <c r="M49" i="24"/>
  <c r="N49" i="24" s="1"/>
  <c r="K49" i="24"/>
  <c r="G49" i="24"/>
  <c r="V48" i="24"/>
  <c r="M48" i="24" s="1"/>
  <c r="U48" i="24"/>
  <c r="O48" i="24"/>
  <c r="K48" i="24"/>
  <c r="G48" i="24"/>
  <c r="V47" i="24"/>
  <c r="M47" i="24" s="1"/>
  <c r="U47" i="24"/>
  <c r="O47" i="24"/>
  <c r="K47" i="24"/>
  <c r="G47" i="24"/>
  <c r="X46" i="24"/>
  <c r="W46" i="24"/>
  <c r="V46" i="24"/>
  <c r="O46" i="24"/>
  <c r="M46" i="24"/>
  <c r="N46" i="24" s="1"/>
  <c r="K46" i="24"/>
  <c r="G46" i="24"/>
  <c r="AD45" i="24"/>
  <c r="Z45" i="24"/>
  <c r="Y45" i="24"/>
  <c r="O45" i="24"/>
  <c r="K45" i="24"/>
  <c r="V44" i="24"/>
  <c r="M44" i="24" s="1"/>
  <c r="U44" i="24"/>
  <c r="O44" i="24"/>
  <c r="K44" i="24"/>
  <c r="G44" i="24"/>
  <c r="V43" i="24"/>
  <c r="M43" i="24" s="1"/>
  <c r="U43" i="24"/>
  <c r="O43" i="24"/>
  <c r="K43" i="24"/>
  <c r="G43" i="24"/>
  <c r="V42" i="24"/>
  <c r="M42" i="24" s="1"/>
  <c r="U42" i="24"/>
  <c r="O42" i="24"/>
  <c r="K42" i="24"/>
  <c r="G42" i="24"/>
  <c r="X41" i="24"/>
  <c r="W41" i="24"/>
  <c r="V41" i="24"/>
  <c r="M41" i="24" s="1"/>
  <c r="U41" i="24"/>
  <c r="O41" i="24"/>
  <c r="K41" i="24"/>
  <c r="G41" i="24"/>
  <c r="V40" i="24"/>
  <c r="M40" i="24" s="1"/>
  <c r="U40" i="24"/>
  <c r="O40" i="24"/>
  <c r="K40" i="24"/>
  <c r="G40" i="24"/>
  <c r="AE39" i="24"/>
  <c r="V39" i="24"/>
  <c r="U39" i="24"/>
  <c r="O39" i="24"/>
  <c r="M39" i="24"/>
  <c r="AF39" i="24" s="1"/>
  <c r="K39" i="24"/>
  <c r="G39" i="24"/>
  <c r="X38" i="24"/>
  <c r="W38" i="24"/>
  <c r="V38" i="24"/>
  <c r="M38" i="24" s="1"/>
  <c r="O38" i="24"/>
  <c r="K38" i="24"/>
  <c r="G38" i="24"/>
  <c r="AD37" i="24"/>
  <c r="K21" i="23" s="1"/>
  <c r="Z37" i="24"/>
  <c r="Y37" i="24"/>
  <c r="O37" i="24"/>
  <c r="K37" i="24"/>
  <c r="AE36" i="24"/>
  <c r="V36" i="24"/>
  <c r="U36" i="24"/>
  <c r="O36" i="24"/>
  <c r="M36" i="24"/>
  <c r="AF36" i="24" s="1"/>
  <c r="K36" i="24"/>
  <c r="V35" i="24"/>
  <c r="U35" i="24"/>
  <c r="O35" i="24"/>
  <c r="M35" i="24"/>
  <c r="AF35" i="24" s="1"/>
  <c r="K35" i="24"/>
  <c r="AF34" i="24"/>
  <c r="AE34" i="24"/>
  <c r="V34" i="24"/>
  <c r="U34" i="24"/>
  <c r="P34" i="24"/>
  <c r="O34" i="24"/>
  <c r="N34" i="24"/>
  <c r="Q34" i="24" s="1"/>
  <c r="M34" i="24"/>
  <c r="K34" i="24"/>
  <c r="AF33" i="24"/>
  <c r="AE33" i="24"/>
  <c r="X33" i="24"/>
  <c r="W33" i="24"/>
  <c r="V33" i="24"/>
  <c r="U33" i="24"/>
  <c r="P33" i="24"/>
  <c r="O33" i="24"/>
  <c r="N33" i="24"/>
  <c r="Q33" i="24" s="1"/>
  <c r="M33" i="24"/>
  <c r="K33" i="24"/>
  <c r="V32" i="24"/>
  <c r="M32" i="24" s="1"/>
  <c r="U32" i="24"/>
  <c r="O32" i="24"/>
  <c r="K32" i="24"/>
  <c r="V31" i="24"/>
  <c r="M31" i="24" s="1"/>
  <c r="U31" i="24"/>
  <c r="O31" i="24"/>
  <c r="K31" i="24"/>
  <c r="X30" i="24"/>
  <c r="W30" i="24"/>
  <c r="V30" i="24"/>
  <c r="O30" i="24"/>
  <c r="M30" i="24"/>
  <c r="K30" i="24"/>
  <c r="AD29" i="24"/>
  <c r="G21" i="23" s="1"/>
  <c r="Z29" i="24"/>
  <c r="G19" i="23" s="1"/>
  <c r="Y29" i="24"/>
  <c r="O29" i="24"/>
  <c r="K29" i="24"/>
  <c r="V28" i="24"/>
  <c r="M28" i="24" s="1"/>
  <c r="U28" i="24"/>
  <c r="O28" i="24"/>
  <c r="K28" i="24"/>
  <c r="G28" i="24"/>
  <c r="V27" i="24"/>
  <c r="M27" i="24" s="1"/>
  <c r="U27" i="24"/>
  <c r="O27" i="24"/>
  <c r="K27" i="24"/>
  <c r="G27" i="24"/>
  <c r="AE26" i="24"/>
  <c r="V26" i="24"/>
  <c r="U26" i="24"/>
  <c r="O26" i="24"/>
  <c r="M26" i="24"/>
  <c r="AF26" i="24" s="1"/>
  <c r="K26" i="24"/>
  <c r="G26" i="24"/>
  <c r="V25" i="24"/>
  <c r="M25" i="24" s="1"/>
  <c r="U25" i="24"/>
  <c r="O25" i="24"/>
  <c r="K25" i="24"/>
  <c r="G25" i="24"/>
  <c r="V24" i="24"/>
  <c r="U24" i="24"/>
  <c r="O24" i="24"/>
  <c r="M24" i="24"/>
  <c r="AF24" i="24" s="1"/>
  <c r="K24" i="24"/>
  <c r="G24" i="24"/>
  <c r="V23" i="24"/>
  <c r="U23" i="24"/>
  <c r="O23" i="24"/>
  <c r="M23" i="24"/>
  <c r="AE23" i="24" s="1"/>
  <c r="K23" i="24"/>
  <c r="G23" i="24"/>
  <c r="V22" i="24"/>
  <c r="O22" i="24"/>
  <c r="M22" i="24"/>
  <c r="AE22" i="24" s="1"/>
  <c r="K22" i="24"/>
  <c r="G22" i="24"/>
  <c r="AD21" i="24"/>
  <c r="Z21" i="24"/>
  <c r="Y21" i="24"/>
  <c r="O21" i="24"/>
  <c r="K21" i="24"/>
  <c r="V20" i="24"/>
  <c r="U20" i="24"/>
  <c r="O20" i="24"/>
  <c r="M20" i="24"/>
  <c r="N20" i="24" s="1"/>
  <c r="K20" i="24"/>
  <c r="G20" i="24"/>
  <c r="V19" i="24"/>
  <c r="M19" i="24" s="1"/>
  <c r="U19" i="24"/>
  <c r="O19" i="24"/>
  <c r="K19" i="24"/>
  <c r="G19" i="24"/>
  <c r="AF18" i="24"/>
  <c r="AE18" i="24"/>
  <c r="V18" i="24"/>
  <c r="U18" i="24"/>
  <c r="O18" i="24"/>
  <c r="M18" i="24"/>
  <c r="N18" i="24" s="1"/>
  <c r="K18" i="24"/>
  <c r="G18" i="24"/>
  <c r="V17" i="24"/>
  <c r="M17" i="24" s="1"/>
  <c r="U17" i="24"/>
  <c r="O17" i="24"/>
  <c r="K17" i="24"/>
  <c r="G17" i="24"/>
  <c r="V16" i="24"/>
  <c r="M16" i="24" s="1"/>
  <c r="U16" i="24"/>
  <c r="O16" i="24"/>
  <c r="K16" i="24"/>
  <c r="G16" i="24"/>
  <c r="V15" i="24"/>
  <c r="M15" i="24" s="1"/>
  <c r="O15" i="24"/>
  <c r="K15" i="24"/>
  <c r="G15" i="24"/>
  <c r="AD14" i="24"/>
  <c r="Z14" i="24"/>
  <c r="Y14" i="24"/>
  <c r="E18" i="23" s="1"/>
  <c r="O14" i="24"/>
  <c r="K14" i="24"/>
  <c r="V13" i="24"/>
  <c r="M13" i="24" s="1"/>
  <c r="U13" i="24"/>
  <c r="O13" i="24"/>
  <c r="K13" i="24"/>
  <c r="G13" i="24"/>
  <c r="X12" i="24"/>
  <c r="W12" i="24"/>
  <c r="V12" i="24"/>
  <c r="M12" i="24" s="1"/>
  <c r="U12" i="24"/>
  <c r="O12" i="24"/>
  <c r="K12" i="24"/>
  <c r="G12" i="24"/>
  <c r="V11" i="24"/>
  <c r="M11" i="24" s="1"/>
  <c r="O11" i="24"/>
  <c r="K11" i="24"/>
  <c r="G11" i="24"/>
  <c r="AD10" i="24"/>
  <c r="AD2" i="24" s="1"/>
  <c r="N6" i="23" s="1"/>
  <c r="Z10" i="24"/>
  <c r="Z2" i="24" s="1"/>
  <c r="L6" i="23" s="1"/>
  <c r="Y10" i="24"/>
  <c r="Y2" i="24" s="1"/>
  <c r="K6" i="23" s="1"/>
  <c r="O10" i="24"/>
  <c r="K10" i="24"/>
  <c r="AE9" i="24"/>
  <c r="V9" i="24"/>
  <c r="U9" i="24"/>
  <c r="O9" i="24"/>
  <c r="M9" i="24"/>
  <c r="AF9" i="24" s="1"/>
  <c r="K9" i="24"/>
  <c r="G9" i="24"/>
  <c r="X8" i="24"/>
  <c r="W8" i="24"/>
  <c r="V8" i="24"/>
  <c r="M8" i="24" s="1"/>
  <c r="U8" i="24"/>
  <c r="O8" i="24"/>
  <c r="K8" i="24"/>
  <c r="G8" i="24"/>
  <c r="AE7" i="24"/>
  <c r="V7" i="24"/>
  <c r="U7" i="24"/>
  <c r="O7" i="24"/>
  <c r="M7" i="24"/>
  <c r="AF7" i="24" s="1"/>
  <c r="K7" i="24"/>
  <c r="G7" i="24"/>
  <c r="V6" i="24"/>
  <c r="M6" i="24" s="1"/>
  <c r="U6" i="24"/>
  <c r="O6" i="24"/>
  <c r="K6" i="24"/>
  <c r="G6" i="24"/>
  <c r="V5" i="24"/>
  <c r="M5" i="24" s="1"/>
  <c r="O5" i="24"/>
  <c r="K5" i="24"/>
  <c r="G5" i="24"/>
  <c r="H2" i="24"/>
  <c r="H1" i="24"/>
  <c r="D1" i="24"/>
  <c r="M22" i="23"/>
  <c r="L22" i="23"/>
  <c r="K22" i="23"/>
  <c r="J22" i="23"/>
  <c r="I22" i="23"/>
  <c r="H22" i="23"/>
  <c r="G22" i="23"/>
  <c r="F22" i="23"/>
  <c r="E22" i="23"/>
  <c r="D22" i="23"/>
  <c r="M21" i="23"/>
  <c r="L21" i="23"/>
  <c r="J21" i="23"/>
  <c r="I21" i="23"/>
  <c r="H21" i="23"/>
  <c r="F21" i="23"/>
  <c r="E21" i="23"/>
  <c r="M20" i="23"/>
  <c r="L20" i="23"/>
  <c r="K20" i="23"/>
  <c r="J20" i="23"/>
  <c r="I20" i="23"/>
  <c r="H20" i="23"/>
  <c r="G20" i="23"/>
  <c r="F20" i="23"/>
  <c r="E20" i="23"/>
  <c r="D20" i="23"/>
  <c r="M19" i="23"/>
  <c r="L19" i="23"/>
  <c r="K19" i="23"/>
  <c r="J19" i="23"/>
  <c r="I19" i="23"/>
  <c r="H19" i="23"/>
  <c r="F19" i="23"/>
  <c r="E19" i="23"/>
  <c r="D19" i="23"/>
  <c r="M18" i="23"/>
  <c r="L18" i="23"/>
  <c r="K18" i="23"/>
  <c r="J18" i="23"/>
  <c r="I18" i="23"/>
  <c r="H18" i="23"/>
  <c r="G18" i="23"/>
  <c r="F18" i="23"/>
  <c r="D18" i="23"/>
  <c r="M17" i="23"/>
  <c r="L17" i="23"/>
  <c r="K17" i="23"/>
  <c r="J17" i="23"/>
  <c r="I17" i="23"/>
  <c r="H17" i="23"/>
  <c r="G17" i="23"/>
  <c r="F17" i="23"/>
  <c r="E17" i="23"/>
  <c r="D17" i="23"/>
  <c r="M16" i="23"/>
  <c r="L16" i="23"/>
  <c r="K16" i="23"/>
  <c r="J16" i="23"/>
  <c r="I16" i="23"/>
  <c r="H16" i="23"/>
  <c r="G16" i="23"/>
  <c r="F16" i="23"/>
  <c r="E16" i="23"/>
  <c r="D16" i="23"/>
  <c r="M13" i="23"/>
  <c r="L13" i="23"/>
  <c r="K13" i="23"/>
  <c r="I6" i="23" s="1"/>
  <c r="J13" i="23"/>
  <c r="I13" i="23"/>
  <c r="H13" i="23"/>
  <c r="E6" i="23" s="1"/>
  <c r="G13" i="23"/>
  <c r="F13" i="23"/>
  <c r="E13" i="23"/>
  <c r="D13" i="23"/>
  <c r="M6" i="23"/>
  <c r="F3" i="23"/>
  <c r="C3" i="23"/>
  <c r="AF6" i="24" l="1"/>
  <c r="AE6" i="24"/>
  <c r="N6" i="24"/>
  <c r="AF8" i="24"/>
  <c r="AE8" i="24"/>
  <c r="N8" i="24"/>
  <c r="N17" i="24"/>
  <c r="AF17" i="24"/>
  <c r="AE17" i="24"/>
  <c r="N48" i="24"/>
  <c r="AF48" i="24"/>
  <c r="AE48" i="24"/>
  <c r="N19" i="24"/>
  <c r="AF19" i="24"/>
  <c r="AE19" i="24"/>
  <c r="F2" i="24"/>
  <c r="I3" i="23"/>
  <c r="AF60" i="24"/>
  <c r="AE60" i="24"/>
  <c r="N60" i="24"/>
  <c r="N15" i="24"/>
  <c r="AF15" i="24"/>
  <c r="AE15" i="24"/>
  <c r="M21" i="24"/>
  <c r="AF38" i="24"/>
  <c r="M45" i="24"/>
  <c r="AE38" i="24"/>
  <c r="N38" i="24"/>
  <c r="N44" i="24"/>
  <c r="AF44" i="24"/>
  <c r="AE44" i="24"/>
  <c r="AF56" i="24"/>
  <c r="AE56" i="24"/>
  <c r="N56" i="24"/>
  <c r="P63" i="24"/>
  <c r="Q63" i="24"/>
  <c r="AF28" i="24"/>
  <c r="AE28" i="24"/>
  <c r="N28" i="24"/>
  <c r="P49" i="24"/>
  <c r="Q49" i="24"/>
  <c r="Q20" i="24"/>
  <c r="P20" i="24"/>
  <c r="AF40" i="24"/>
  <c r="AE40" i="24"/>
  <c r="N40" i="24"/>
  <c r="AF42" i="24"/>
  <c r="AE42" i="24"/>
  <c r="N42" i="24"/>
  <c r="AF58" i="24"/>
  <c r="AG51" i="24" s="1"/>
  <c r="AE58" i="24"/>
  <c r="N58" i="24"/>
  <c r="M14" i="24"/>
  <c r="AF11" i="24"/>
  <c r="AE11" i="24"/>
  <c r="N11" i="24"/>
  <c r="AF13" i="24"/>
  <c r="AE13" i="24"/>
  <c r="N13" i="24"/>
  <c r="N70" i="24"/>
  <c r="AF70" i="24"/>
  <c r="AE70" i="24"/>
  <c r="N61" i="24"/>
  <c r="AF61" i="24"/>
  <c r="AE61" i="24"/>
  <c r="AF59" i="24"/>
  <c r="AE59" i="24"/>
  <c r="M65" i="24"/>
  <c r="N59" i="24"/>
  <c r="N67" i="24"/>
  <c r="AF67" i="24"/>
  <c r="M73" i="24"/>
  <c r="AE67" i="24"/>
  <c r="P18" i="24"/>
  <c r="Q18" i="24"/>
  <c r="M10" i="24"/>
  <c r="AF5" i="24"/>
  <c r="AE5" i="24"/>
  <c r="N5" i="24"/>
  <c r="N31" i="24"/>
  <c r="AF31" i="24"/>
  <c r="AE31" i="24"/>
  <c r="N16" i="24"/>
  <c r="AF16" i="24"/>
  <c r="AE16" i="24"/>
  <c r="AF41" i="24"/>
  <c r="AE41" i="24"/>
  <c r="N41" i="24"/>
  <c r="AF43" i="24"/>
  <c r="AE43" i="24"/>
  <c r="N43" i="24"/>
  <c r="Q52" i="24"/>
  <c r="P52" i="24"/>
  <c r="P46" i="24"/>
  <c r="Q46" i="24"/>
  <c r="N62" i="24"/>
  <c r="AF62" i="24"/>
  <c r="AE62" i="24"/>
  <c r="N64" i="24"/>
  <c r="AF64" i="24"/>
  <c r="AE64" i="24"/>
  <c r="N47" i="24"/>
  <c r="AF47" i="24"/>
  <c r="AE47" i="24"/>
  <c r="AF12" i="24"/>
  <c r="AE12" i="24"/>
  <c r="N12" i="24"/>
  <c r="AF25" i="24"/>
  <c r="AE25" i="24"/>
  <c r="N25" i="24"/>
  <c r="AF27" i="24"/>
  <c r="AE27" i="24"/>
  <c r="N27" i="24"/>
  <c r="M37" i="24"/>
  <c r="N32" i="24"/>
  <c r="AF32" i="24"/>
  <c r="AE32" i="24"/>
  <c r="N68" i="24"/>
  <c r="AF68" i="24"/>
  <c r="AE68" i="24"/>
  <c r="F6" i="23"/>
  <c r="G6" i="23"/>
  <c r="AF22" i="24"/>
  <c r="AF23" i="24"/>
  <c r="AF54" i="24"/>
  <c r="AF72" i="24"/>
  <c r="AE20" i="24"/>
  <c r="AE51" i="24"/>
  <c r="AE52" i="24"/>
  <c r="N7" i="24"/>
  <c r="N9" i="24"/>
  <c r="AF20" i="24"/>
  <c r="N26" i="24"/>
  <c r="N36" i="24"/>
  <c r="N39" i="24"/>
  <c r="AF51" i="24"/>
  <c r="AF52" i="24"/>
  <c r="N24" i="24"/>
  <c r="N35" i="24"/>
  <c r="N55" i="24"/>
  <c r="N22" i="24"/>
  <c r="N23" i="24"/>
  <c r="AE30" i="24"/>
  <c r="AE46" i="24"/>
  <c r="N54" i="24"/>
  <c r="N72" i="24"/>
  <c r="AF30" i="24"/>
  <c r="AF46" i="24"/>
  <c r="M50" i="24"/>
  <c r="D21" i="23"/>
  <c r="N51" i="24"/>
  <c r="M29" i="24"/>
  <c r="N30" i="24"/>
  <c r="AE24" i="24"/>
  <c r="AE35" i="24"/>
  <c r="AE55" i="24"/>
  <c r="AD72" i="22"/>
  <c r="Z72" i="22"/>
  <c r="Y72" i="22"/>
  <c r="O72" i="22"/>
  <c r="K72" i="22"/>
  <c r="AF71" i="22"/>
  <c r="V71" i="22"/>
  <c r="U71" i="22"/>
  <c r="O71" i="22"/>
  <c r="M71" i="22"/>
  <c r="AE71" i="22" s="1"/>
  <c r="K71" i="22"/>
  <c r="G71" i="22"/>
  <c r="AE70" i="22"/>
  <c r="V70" i="22"/>
  <c r="U70" i="22"/>
  <c r="O70" i="22"/>
  <c r="M70" i="22"/>
  <c r="N70" i="22" s="1"/>
  <c r="Q70" i="22" s="1"/>
  <c r="K70" i="22"/>
  <c r="G70" i="22"/>
  <c r="AF69" i="22"/>
  <c r="X69" i="22"/>
  <c r="W69" i="22"/>
  <c r="V69" i="22"/>
  <c r="U69" i="22"/>
  <c r="O69" i="22"/>
  <c r="M69" i="22"/>
  <c r="N69" i="22" s="1"/>
  <c r="K69" i="22"/>
  <c r="G69" i="22"/>
  <c r="AE68" i="22"/>
  <c r="V68" i="22"/>
  <c r="U68" i="22"/>
  <c r="O68" i="22"/>
  <c r="M68" i="22"/>
  <c r="N68" i="22" s="1"/>
  <c r="Q68" i="22" s="1"/>
  <c r="K68" i="22"/>
  <c r="G68" i="22"/>
  <c r="V67" i="22"/>
  <c r="M67" i="22" s="1"/>
  <c r="U67" i="22"/>
  <c r="O67" i="22"/>
  <c r="K67" i="22"/>
  <c r="G67" i="22"/>
  <c r="AF66" i="22"/>
  <c r="X66" i="22"/>
  <c r="W66" i="22"/>
  <c r="V66" i="22"/>
  <c r="O66" i="22"/>
  <c r="M66" i="22"/>
  <c r="N66" i="22" s="1"/>
  <c r="K66" i="22"/>
  <c r="G66" i="22"/>
  <c r="AD65" i="22"/>
  <c r="Z65" i="22"/>
  <c r="Y65" i="22"/>
  <c r="O65" i="22"/>
  <c r="K65" i="22"/>
  <c r="AF64" i="22"/>
  <c r="V64" i="22"/>
  <c r="M64" i="22" s="1"/>
  <c r="U64" i="22"/>
  <c r="O64" i="22"/>
  <c r="K64" i="22"/>
  <c r="G64" i="22"/>
  <c r="AF63" i="22"/>
  <c r="AE63" i="22"/>
  <c r="V63" i="22"/>
  <c r="M63" i="22" s="1"/>
  <c r="U63" i="22"/>
  <c r="O63" i="22"/>
  <c r="N63" i="22"/>
  <c r="K63" i="22"/>
  <c r="G63" i="22"/>
  <c r="V62" i="22"/>
  <c r="M62" i="22" s="1"/>
  <c r="U62" i="22"/>
  <c r="O62" i="22"/>
  <c r="K62" i="22"/>
  <c r="G62" i="22"/>
  <c r="V61" i="22"/>
  <c r="M61" i="22" s="1"/>
  <c r="U61" i="22"/>
  <c r="O61" i="22"/>
  <c r="K61" i="22"/>
  <c r="G61" i="22"/>
  <c r="V60" i="22"/>
  <c r="M60" i="22" s="1"/>
  <c r="U60" i="22"/>
  <c r="O60" i="22"/>
  <c r="K60" i="22"/>
  <c r="G60" i="22"/>
  <c r="V59" i="22"/>
  <c r="M59" i="22" s="1"/>
  <c r="O59" i="22"/>
  <c r="K59" i="22"/>
  <c r="G59" i="22"/>
  <c r="AD58" i="22"/>
  <c r="Z58" i="22"/>
  <c r="Y58" i="22"/>
  <c r="I18" i="21" s="1"/>
  <c r="O58" i="22"/>
  <c r="K58" i="22"/>
  <c r="V57" i="22"/>
  <c r="U57" i="22"/>
  <c r="O57" i="22"/>
  <c r="M57" i="22"/>
  <c r="K57" i="22"/>
  <c r="G57" i="22"/>
  <c r="AE56" i="22"/>
  <c r="V56" i="22"/>
  <c r="U56" i="22"/>
  <c r="O56" i="22"/>
  <c r="N56" i="22"/>
  <c r="M56" i="22"/>
  <c r="AF56" i="22" s="1"/>
  <c r="K56" i="22"/>
  <c r="G56" i="22"/>
  <c r="V55" i="22"/>
  <c r="U55" i="22"/>
  <c r="O55" i="22"/>
  <c r="M55" i="22"/>
  <c r="K55" i="22"/>
  <c r="G55" i="22"/>
  <c r="V54" i="22"/>
  <c r="U54" i="22"/>
  <c r="O54" i="22"/>
  <c r="M54" i="22"/>
  <c r="K54" i="22"/>
  <c r="G54" i="22"/>
  <c r="AF53" i="22"/>
  <c r="V53" i="22"/>
  <c r="U53" i="22"/>
  <c r="O53" i="22"/>
  <c r="M53" i="22"/>
  <c r="AE53" i="22" s="1"/>
  <c r="K53" i="22"/>
  <c r="G53" i="22"/>
  <c r="AE52" i="22"/>
  <c r="V52" i="22"/>
  <c r="U52" i="22"/>
  <c r="O52" i="22"/>
  <c r="M52" i="22"/>
  <c r="N52" i="22" s="1"/>
  <c r="Q52" i="22" s="1"/>
  <c r="K52" i="22"/>
  <c r="G52" i="22"/>
  <c r="AE51" i="22"/>
  <c r="V51" i="22"/>
  <c r="O51" i="22"/>
  <c r="M51" i="22"/>
  <c r="K51" i="22"/>
  <c r="G51" i="22"/>
  <c r="AD50" i="22"/>
  <c r="H21" i="21" s="1"/>
  <c r="Z50" i="22"/>
  <c r="Y50" i="22"/>
  <c r="O50" i="22"/>
  <c r="K50" i="22"/>
  <c r="AF49" i="22"/>
  <c r="V49" i="22"/>
  <c r="M49" i="22" s="1"/>
  <c r="AE49" i="22" s="1"/>
  <c r="U49" i="22"/>
  <c r="O49" i="22"/>
  <c r="N49" i="22"/>
  <c r="K49" i="22"/>
  <c r="G49" i="22"/>
  <c r="V48" i="22"/>
  <c r="M48" i="22" s="1"/>
  <c r="U48" i="22"/>
  <c r="O48" i="22"/>
  <c r="K48" i="22"/>
  <c r="G48" i="22"/>
  <c r="V47" i="22"/>
  <c r="M47" i="22" s="1"/>
  <c r="U47" i="22"/>
  <c r="O47" i="22"/>
  <c r="K47" i="22"/>
  <c r="G47" i="22"/>
  <c r="X46" i="22"/>
  <c r="W46" i="22"/>
  <c r="V46" i="22"/>
  <c r="M46" i="22" s="1"/>
  <c r="N46" i="22" s="1"/>
  <c r="O46" i="22"/>
  <c r="K46" i="22"/>
  <c r="G46" i="22"/>
  <c r="AD45" i="22"/>
  <c r="L21" i="21" s="1"/>
  <c r="Z45" i="22"/>
  <c r="L19" i="21" s="1"/>
  <c r="Y45" i="22"/>
  <c r="L18" i="21" s="1"/>
  <c r="O45" i="22"/>
  <c r="K45" i="22"/>
  <c r="AE44" i="22"/>
  <c r="V44" i="22"/>
  <c r="M44" i="22" s="1"/>
  <c r="U44" i="22"/>
  <c r="O44" i="22"/>
  <c r="K44" i="22"/>
  <c r="G44" i="22"/>
  <c r="V43" i="22"/>
  <c r="M43" i="22" s="1"/>
  <c r="U43" i="22"/>
  <c r="O43" i="22"/>
  <c r="K43" i="22"/>
  <c r="G43" i="22"/>
  <c r="V42" i="22"/>
  <c r="M42" i="22" s="1"/>
  <c r="U42" i="22"/>
  <c r="O42" i="22"/>
  <c r="N42" i="22"/>
  <c r="Q42" i="22" s="1"/>
  <c r="K42" i="22"/>
  <c r="G42" i="22"/>
  <c r="X41" i="22"/>
  <c r="W41" i="22"/>
  <c r="V41" i="22"/>
  <c r="M41" i="22" s="1"/>
  <c r="U41" i="22"/>
  <c r="O41" i="22"/>
  <c r="K41" i="22"/>
  <c r="G41" i="22"/>
  <c r="V40" i="22"/>
  <c r="M40" i="22" s="1"/>
  <c r="U40" i="22"/>
  <c r="O40" i="22"/>
  <c r="K40" i="22"/>
  <c r="G40" i="22"/>
  <c r="V39" i="22"/>
  <c r="U39" i="22"/>
  <c r="O39" i="22"/>
  <c r="M39" i="22"/>
  <c r="AF39" i="22" s="1"/>
  <c r="K39" i="22"/>
  <c r="G39" i="22"/>
  <c r="AE38" i="22"/>
  <c r="V38" i="22"/>
  <c r="U38" i="22"/>
  <c r="O38" i="22"/>
  <c r="N38" i="22"/>
  <c r="M38" i="22"/>
  <c r="AF38" i="22" s="1"/>
  <c r="K38" i="22"/>
  <c r="G38" i="22"/>
  <c r="AE37" i="22"/>
  <c r="X37" i="22"/>
  <c r="W37" i="22"/>
  <c r="V37" i="22"/>
  <c r="M37" i="22" s="1"/>
  <c r="O37" i="22"/>
  <c r="N37" i="22"/>
  <c r="Q37" i="22" s="1"/>
  <c r="K37" i="22"/>
  <c r="G37" i="22"/>
  <c r="AD36" i="22"/>
  <c r="Z36" i="22"/>
  <c r="K19" i="21" s="1"/>
  <c r="Y36" i="22"/>
  <c r="O36" i="22"/>
  <c r="K36" i="22"/>
  <c r="AE35" i="22"/>
  <c r="V35" i="22"/>
  <c r="U35" i="22"/>
  <c r="P35" i="22"/>
  <c r="O35" i="22"/>
  <c r="N35" i="22"/>
  <c r="Q35" i="22" s="1"/>
  <c r="M35" i="22"/>
  <c r="AF35" i="22" s="1"/>
  <c r="K35" i="22"/>
  <c r="G35" i="22"/>
  <c r="V34" i="22"/>
  <c r="U34" i="22"/>
  <c r="O34" i="22"/>
  <c r="M34" i="22"/>
  <c r="K34" i="22"/>
  <c r="G34" i="22"/>
  <c r="V33" i="22"/>
  <c r="U33" i="22"/>
  <c r="O33" i="22"/>
  <c r="M33" i="22"/>
  <c r="K33" i="22"/>
  <c r="G33" i="22"/>
  <c r="AF32" i="22"/>
  <c r="V32" i="22"/>
  <c r="U32" i="22"/>
  <c r="O32" i="22"/>
  <c r="M32" i="22"/>
  <c r="K32" i="22"/>
  <c r="G32" i="22"/>
  <c r="X31" i="22"/>
  <c r="W31" i="22"/>
  <c r="V31" i="22"/>
  <c r="U31" i="22"/>
  <c r="O31" i="22"/>
  <c r="M31" i="22"/>
  <c r="AF31" i="22" s="1"/>
  <c r="K31" i="22"/>
  <c r="G31" i="22"/>
  <c r="AF30" i="22"/>
  <c r="V30" i="22"/>
  <c r="U30" i="22"/>
  <c r="O30" i="22"/>
  <c r="M30" i="22"/>
  <c r="K30" i="22"/>
  <c r="G30" i="22"/>
  <c r="AE29" i="22"/>
  <c r="V29" i="22"/>
  <c r="U29" i="22"/>
  <c r="O29" i="22"/>
  <c r="M29" i="22"/>
  <c r="N29" i="22" s="1"/>
  <c r="Q29" i="22" s="1"/>
  <c r="K29" i="22"/>
  <c r="G29" i="22"/>
  <c r="V28" i="22"/>
  <c r="M28" i="22" s="1"/>
  <c r="U28" i="22"/>
  <c r="O28" i="22"/>
  <c r="K28" i="22"/>
  <c r="G28" i="22"/>
  <c r="AF27" i="22"/>
  <c r="X27" i="22"/>
  <c r="W27" i="22"/>
  <c r="V27" i="22"/>
  <c r="O27" i="22"/>
  <c r="M27" i="22"/>
  <c r="K27" i="22"/>
  <c r="G27" i="22"/>
  <c r="AD26" i="22"/>
  <c r="Z26" i="22"/>
  <c r="Y26" i="22"/>
  <c r="O26" i="22"/>
  <c r="K26" i="22"/>
  <c r="G13" i="21" s="1"/>
  <c r="V25" i="22"/>
  <c r="M25" i="22" s="1"/>
  <c r="U25" i="22"/>
  <c r="O25" i="22"/>
  <c r="K25" i="22"/>
  <c r="G25" i="22"/>
  <c r="AF24" i="22"/>
  <c r="AE24" i="22"/>
  <c r="V24" i="22"/>
  <c r="M24" i="22" s="1"/>
  <c r="U24" i="22"/>
  <c r="O24" i="22"/>
  <c r="N24" i="22"/>
  <c r="K24" i="22"/>
  <c r="G24" i="22"/>
  <c r="V23" i="22"/>
  <c r="M23" i="22" s="1"/>
  <c r="U23" i="22"/>
  <c r="O23" i="22"/>
  <c r="K23" i="22"/>
  <c r="G23" i="22"/>
  <c r="AE22" i="22"/>
  <c r="V22" i="22"/>
  <c r="M22" i="22" s="1"/>
  <c r="U22" i="22"/>
  <c r="O22" i="22"/>
  <c r="K22" i="22"/>
  <c r="G22" i="22"/>
  <c r="V21" i="22"/>
  <c r="M21" i="22" s="1"/>
  <c r="U21" i="22"/>
  <c r="O21" i="22"/>
  <c r="K21" i="22"/>
  <c r="G21" i="22"/>
  <c r="V20" i="22"/>
  <c r="M20" i="22" s="1"/>
  <c r="O20" i="22"/>
  <c r="K20" i="22"/>
  <c r="G20" i="22"/>
  <c r="AD19" i="22"/>
  <c r="Z19" i="22"/>
  <c r="F19" i="21" s="1"/>
  <c r="Y19" i="22"/>
  <c r="F18" i="21" s="1"/>
  <c r="O19" i="22"/>
  <c r="K19" i="22"/>
  <c r="V18" i="22"/>
  <c r="U18" i="22"/>
  <c r="O18" i="22"/>
  <c r="M18" i="22"/>
  <c r="K18" i="22"/>
  <c r="G18" i="22"/>
  <c r="AE17" i="22"/>
  <c r="V17" i="22"/>
  <c r="U17" i="22"/>
  <c r="O17" i="22"/>
  <c r="N17" i="22"/>
  <c r="M17" i="22"/>
  <c r="AF17" i="22" s="1"/>
  <c r="K17" i="22"/>
  <c r="G17" i="22"/>
  <c r="V16" i="22"/>
  <c r="M16" i="22" s="1"/>
  <c r="U16" i="22"/>
  <c r="O16" i="22"/>
  <c r="K16" i="22"/>
  <c r="G16" i="22"/>
  <c r="V15" i="22"/>
  <c r="O15" i="22"/>
  <c r="M15" i="22"/>
  <c r="K15" i="22"/>
  <c r="G15" i="22"/>
  <c r="AD14" i="22"/>
  <c r="Z14" i="22"/>
  <c r="Y14" i="22"/>
  <c r="O14" i="22"/>
  <c r="K14" i="22"/>
  <c r="AF13" i="22"/>
  <c r="V13" i="22"/>
  <c r="U13" i="22"/>
  <c r="O13" i="22"/>
  <c r="M13" i="22"/>
  <c r="K13" i="22"/>
  <c r="G13" i="22"/>
  <c r="X12" i="22"/>
  <c r="W12" i="22"/>
  <c r="V12" i="22"/>
  <c r="U12" i="22"/>
  <c r="O12" i="22"/>
  <c r="M12" i="22"/>
  <c r="AF12" i="22" s="1"/>
  <c r="K12" i="22"/>
  <c r="G12" i="22"/>
  <c r="V11" i="22"/>
  <c r="O11" i="22"/>
  <c r="M11" i="22"/>
  <c r="K11" i="22"/>
  <c r="G11" i="22"/>
  <c r="AD10" i="22"/>
  <c r="Z10" i="22"/>
  <c r="Y10" i="22"/>
  <c r="O10" i="22"/>
  <c r="K10" i="22"/>
  <c r="AE9" i="22"/>
  <c r="V9" i="22"/>
  <c r="U9" i="22"/>
  <c r="O9" i="22"/>
  <c r="M9" i="22"/>
  <c r="N9" i="22" s="1"/>
  <c r="Q9" i="22" s="1"/>
  <c r="K9" i="22"/>
  <c r="G9" i="22"/>
  <c r="X8" i="22"/>
  <c r="W8" i="22"/>
  <c r="V8" i="22"/>
  <c r="U8" i="22"/>
  <c r="O8" i="22"/>
  <c r="M8" i="22"/>
  <c r="K8" i="22"/>
  <c r="G8" i="22"/>
  <c r="F1" i="22" s="1"/>
  <c r="AE7" i="22"/>
  <c r="V7" i="22"/>
  <c r="U7" i="22"/>
  <c r="P7" i="22"/>
  <c r="O7" i="22"/>
  <c r="M7" i="22"/>
  <c r="N7" i="22" s="1"/>
  <c r="Q7" i="22" s="1"/>
  <c r="K7" i="22"/>
  <c r="G7" i="22"/>
  <c r="V6" i="22"/>
  <c r="M6" i="22" s="1"/>
  <c r="U6" i="22"/>
  <c r="O6" i="22"/>
  <c r="K6" i="22"/>
  <c r="G6" i="22"/>
  <c r="AF5" i="22"/>
  <c r="V5" i="22"/>
  <c r="M5" i="22" s="1"/>
  <c r="O5" i="22"/>
  <c r="K5" i="22"/>
  <c r="G5" i="22"/>
  <c r="Z2" i="22"/>
  <c r="H2" i="22"/>
  <c r="H1" i="22"/>
  <c r="D1" i="22"/>
  <c r="M22" i="21"/>
  <c r="L22" i="21"/>
  <c r="K22" i="21"/>
  <c r="J22" i="21"/>
  <c r="I22" i="21"/>
  <c r="H22" i="21"/>
  <c r="G22" i="21"/>
  <c r="F22" i="21"/>
  <c r="E22" i="21"/>
  <c r="D22" i="21"/>
  <c r="M21" i="21"/>
  <c r="K21" i="21"/>
  <c r="J21" i="21"/>
  <c r="I21" i="21"/>
  <c r="G21" i="21"/>
  <c r="F21" i="21"/>
  <c r="E21" i="21"/>
  <c r="D21" i="21"/>
  <c r="M20" i="21"/>
  <c r="L20" i="21"/>
  <c r="K20" i="21"/>
  <c r="J20" i="21"/>
  <c r="I20" i="21"/>
  <c r="H20" i="21"/>
  <c r="G20" i="21"/>
  <c r="F20" i="21"/>
  <c r="E20" i="21"/>
  <c r="D20" i="21"/>
  <c r="M19" i="21"/>
  <c r="J19" i="21"/>
  <c r="I19" i="21"/>
  <c r="H19" i="21"/>
  <c r="G19" i="21"/>
  <c r="E19" i="21"/>
  <c r="D19" i="21"/>
  <c r="M18" i="21"/>
  <c r="K18" i="21"/>
  <c r="J18" i="21"/>
  <c r="H18" i="21"/>
  <c r="G18" i="21"/>
  <c r="E18" i="21"/>
  <c r="M17" i="21"/>
  <c r="L17" i="21"/>
  <c r="K17" i="21"/>
  <c r="J17" i="21"/>
  <c r="I17" i="21"/>
  <c r="H17" i="21"/>
  <c r="G17" i="21"/>
  <c r="F17" i="21"/>
  <c r="E17" i="21"/>
  <c r="D17" i="21"/>
  <c r="M16" i="21"/>
  <c r="L16" i="21"/>
  <c r="K16" i="21"/>
  <c r="J16" i="21"/>
  <c r="I16" i="21"/>
  <c r="H16" i="21"/>
  <c r="G16" i="21"/>
  <c r="F16" i="21"/>
  <c r="E16" i="21"/>
  <c r="D16" i="21"/>
  <c r="M13" i="21"/>
  <c r="L13" i="21"/>
  <c r="K13" i="21"/>
  <c r="I6" i="21" s="1"/>
  <c r="J13" i="21"/>
  <c r="I13" i="21"/>
  <c r="H13" i="21"/>
  <c r="F13" i="21"/>
  <c r="E13" i="21"/>
  <c r="D13" i="21"/>
  <c r="G6" i="21" s="1"/>
  <c r="M6" i="21"/>
  <c r="L6" i="21"/>
  <c r="F3" i="21"/>
  <c r="C3" i="21"/>
  <c r="AF73" i="24" l="1"/>
  <c r="AG66" i="24" s="1"/>
  <c r="AE73" i="24"/>
  <c r="N73" i="24"/>
  <c r="Q23" i="24"/>
  <c r="P23" i="24"/>
  <c r="Q7" i="24"/>
  <c r="P7" i="24"/>
  <c r="Q68" i="24"/>
  <c r="P68" i="24"/>
  <c r="Q67" i="24"/>
  <c r="P67" i="24"/>
  <c r="Q40" i="24"/>
  <c r="P40" i="24"/>
  <c r="Q56" i="24"/>
  <c r="P56" i="24"/>
  <c r="Q48" i="24"/>
  <c r="P48" i="24"/>
  <c r="N21" i="24"/>
  <c r="AF21" i="24"/>
  <c r="AG15" i="24" s="1"/>
  <c r="AE21" i="24"/>
  <c r="Q9" i="24"/>
  <c r="P9" i="24"/>
  <c r="Q22" i="24"/>
  <c r="P22" i="24"/>
  <c r="Q59" i="24"/>
  <c r="P59" i="24"/>
  <c r="Q15" i="24"/>
  <c r="P15" i="24"/>
  <c r="Q62" i="24"/>
  <c r="P62" i="24"/>
  <c r="N29" i="24"/>
  <c r="AF29" i="24"/>
  <c r="AG22" i="24" s="1"/>
  <c r="AE29" i="24"/>
  <c r="Q55" i="24"/>
  <c r="P55" i="24"/>
  <c r="Q31" i="24"/>
  <c r="P31" i="24"/>
  <c r="N65" i="24"/>
  <c r="AF65" i="24"/>
  <c r="AG59" i="24" s="1"/>
  <c r="AE65" i="24"/>
  <c r="Q11" i="24"/>
  <c r="P11" i="24"/>
  <c r="Q60" i="24"/>
  <c r="P60" i="24"/>
  <c r="P30" i="24"/>
  <c r="Q30" i="24"/>
  <c r="Q51" i="24"/>
  <c r="P51" i="24"/>
  <c r="Q35" i="24"/>
  <c r="P35" i="24"/>
  <c r="Q32" i="24"/>
  <c r="P32" i="24"/>
  <c r="Q43" i="24"/>
  <c r="P43" i="24"/>
  <c r="Q5" i="24"/>
  <c r="P5" i="24"/>
  <c r="Q17" i="24"/>
  <c r="P17" i="24"/>
  <c r="Q24" i="24"/>
  <c r="P24" i="24"/>
  <c r="AF37" i="24"/>
  <c r="AG30" i="24" s="1"/>
  <c r="AE37" i="24"/>
  <c r="N37" i="24"/>
  <c r="Q47" i="24"/>
  <c r="P47" i="24"/>
  <c r="Q8" i="24"/>
  <c r="P8" i="24"/>
  <c r="Q70" i="24"/>
  <c r="P70" i="24"/>
  <c r="Q12" i="24"/>
  <c r="P12" i="24"/>
  <c r="N50" i="24"/>
  <c r="AF50" i="24"/>
  <c r="AG46" i="24" s="1"/>
  <c r="AE50" i="24"/>
  <c r="Q27" i="24"/>
  <c r="P27" i="24"/>
  <c r="N14" i="24"/>
  <c r="AF14" i="24"/>
  <c r="AG11" i="24" s="1"/>
  <c r="AE14" i="24"/>
  <c r="Q44" i="24"/>
  <c r="P44" i="24"/>
  <c r="Q41" i="24"/>
  <c r="P41" i="24"/>
  <c r="AF10" i="24"/>
  <c r="AG5" i="24" s="1"/>
  <c r="AE10" i="24"/>
  <c r="N10" i="24"/>
  <c r="Q58" i="24"/>
  <c r="R51" i="24" s="1"/>
  <c r="P58" i="24"/>
  <c r="I14" i="23"/>
  <c r="I15" i="23" s="1"/>
  <c r="Q38" i="24"/>
  <c r="P38" i="24"/>
  <c r="Q39" i="24"/>
  <c r="P39" i="24"/>
  <c r="Q64" i="24"/>
  <c r="P64" i="24"/>
  <c r="Q61" i="24"/>
  <c r="P61" i="24"/>
  <c r="Q28" i="24"/>
  <c r="P28" i="24"/>
  <c r="Q6" i="24"/>
  <c r="P6" i="24"/>
  <c r="Q13" i="24"/>
  <c r="P13" i="24"/>
  <c r="Q72" i="24"/>
  <c r="P72" i="24"/>
  <c r="Q36" i="24"/>
  <c r="P36" i="24"/>
  <c r="Q25" i="24"/>
  <c r="P25" i="24"/>
  <c r="N45" i="24"/>
  <c r="AF45" i="24"/>
  <c r="AG38" i="24" s="1"/>
  <c r="AE45" i="24"/>
  <c r="Q16" i="24"/>
  <c r="P16" i="24"/>
  <c r="Q54" i="24"/>
  <c r="P54" i="24"/>
  <c r="Q26" i="24"/>
  <c r="P26" i="24"/>
  <c r="Q42" i="24"/>
  <c r="P42" i="24"/>
  <c r="Q19" i="24"/>
  <c r="P19" i="24"/>
  <c r="AF16" i="22"/>
  <c r="AE16" i="22"/>
  <c r="N16" i="22"/>
  <c r="N62" i="22"/>
  <c r="AF62" i="22"/>
  <c r="AE62" i="22"/>
  <c r="F2" i="22"/>
  <c r="I3" i="21"/>
  <c r="N48" i="22"/>
  <c r="AF48" i="22"/>
  <c r="AE48" i="22"/>
  <c r="N23" i="22"/>
  <c r="AF23" i="22"/>
  <c r="AE23" i="22"/>
  <c r="Q46" i="22"/>
  <c r="P46" i="22"/>
  <c r="AE18" i="22"/>
  <c r="N18" i="22"/>
  <c r="N21" i="22"/>
  <c r="AF21" i="22"/>
  <c r="AE21" i="22"/>
  <c r="N43" i="22"/>
  <c r="AF43" i="22"/>
  <c r="AE43" i="22"/>
  <c r="AF55" i="22"/>
  <c r="AE55" i="22"/>
  <c r="N12" i="22"/>
  <c r="M19" i="22"/>
  <c r="AF15" i="22"/>
  <c r="AE15" i="22"/>
  <c r="N31" i="22"/>
  <c r="AF34" i="22"/>
  <c r="AE34" i="22"/>
  <c r="N55" i="22"/>
  <c r="N6" i="22"/>
  <c r="AE6" i="22"/>
  <c r="N8" i="22"/>
  <c r="AE8" i="22"/>
  <c r="P9" i="22"/>
  <c r="N15" i="22"/>
  <c r="N34" i="22"/>
  <c r="Q38" i="22"/>
  <c r="P42" i="22"/>
  <c r="N60" i="22"/>
  <c r="AF60" i="22"/>
  <c r="AE60" i="22"/>
  <c r="AF11" i="22"/>
  <c r="AE11" i="22"/>
  <c r="N25" i="22"/>
  <c r="AE25" i="22"/>
  <c r="M36" i="22"/>
  <c r="N27" i="22"/>
  <c r="AE27" i="22"/>
  <c r="N28" i="22"/>
  <c r="AE28" i="22"/>
  <c r="AE30" i="22"/>
  <c r="N30" i="22"/>
  <c r="P37" i="22"/>
  <c r="P38" i="22"/>
  <c r="N47" i="22"/>
  <c r="AF47" i="22"/>
  <c r="AE47" i="22"/>
  <c r="P52" i="22"/>
  <c r="P66" i="22"/>
  <c r="N67" i="22"/>
  <c r="AE67" i="22"/>
  <c r="P69" i="22"/>
  <c r="P70" i="22"/>
  <c r="AD2" i="22"/>
  <c r="N6" i="21" s="1"/>
  <c r="AF6" i="22"/>
  <c r="Q17" i="22"/>
  <c r="Q49" i="22"/>
  <c r="P49" i="22"/>
  <c r="AE57" i="22"/>
  <c r="N57" i="22"/>
  <c r="E6" i="21"/>
  <c r="F6" i="21"/>
  <c r="N11" i="22"/>
  <c r="M14" i="22"/>
  <c r="P17" i="22"/>
  <c r="AF18" i="22"/>
  <c r="N20" i="22"/>
  <c r="AF20" i="22"/>
  <c r="AE20" i="22"/>
  <c r="N22" i="22"/>
  <c r="AF22" i="22"/>
  <c r="AF25" i="22"/>
  <c r="AF28" i="22"/>
  <c r="AF42" i="22"/>
  <c r="AE42" i="22"/>
  <c r="N44" i="22"/>
  <c r="AF44" i="22"/>
  <c r="N64" i="22"/>
  <c r="AE64" i="22"/>
  <c r="AF67" i="22"/>
  <c r="M72" i="22"/>
  <c r="AF40" i="22"/>
  <c r="AE40" i="22"/>
  <c r="Q24" i="22"/>
  <c r="P24" i="22"/>
  <c r="AF33" i="22"/>
  <c r="AE33" i="22"/>
  <c r="N41" i="22"/>
  <c r="AE41" i="22"/>
  <c r="M58" i="22"/>
  <c r="AF54" i="22"/>
  <c r="AE54" i="22"/>
  <c r="N54" i="22"/>
  <c r="Q66" i="22"/>
  <c r="Q69" i="22"/>
  <c r="N5" i="22"/>
  <c r="AE5" i="22"/>
  <c r="M10" i="22"/>
  <c r="AE12" i="22"/>
  <c r="M26" i="22"/>
  <c r="AE31" i="22"/>
  <c r="N33" i="22"/>
  <c r="AF37" i="22"/>
  <c r="M45" i="22"/>
  <c r="N40" i="22"/>
  <c r="Q63" i="22"/>
  <c r="P63" i="22"/>
  <c r="M50" i="22"/>
  <c r="AF46" i="22"/>
  <c r="AE46" i="22"/>
  <c r="Q56" i="22"/>
  <c r="P56" i="22"/>
  <c r="AF57" i="22"/>
  <c r="N59" i="22"/>
  <c r="AF59" i="22"/>
  <c r="AE59" i="22"/>
  <c r="M65" i="22"/>
  <c r="N61" i="22"/>
  <c r="AF61" i="22"/>
  <c r="AE61" i="22"/>
  <c r="AF8" i="22"/>
  <c r="AF41" i="22"/>
  <c r="D18" i="21"/>
  <c r="Y2" i="22"/>
  <c r="K6" i="21" s="1"/>
  <c r="AE13" i="22"/>
  <c r="N13" i="22"/>
  <c r="P29" i="22"/>
  <c r="AE32" i="22"/>
  <c r="N32" i="22"/>
  <c r="AE39" i="22"/>
  <c r="N39" i="22"/>
  <c r="P68" i="22"/>
  <c r="AF7" i="22"/>
  <c r="AF9" i="22"/>
  <c r="AF29" i="22"/>
  <c r="AF51" i="22"/>
  <c r="AF52" i="22"/>
  <c r="AE66" i="22"/>
  <c r="AF68" i="22"/>
  <c r="AE69" i="22"/>
  <c r="AF70" i="22"/>
  <c r="N53" i="22"/>
  <c r="N71" i="22"/>
  <c r="N51" i="22"/>
  <c r="Q50" i="24" l="1"/>
  <c r="R46" i="24" s="1"/>
  <c r="P50" i="24"/>
  <c r="H14" i="23"/>
  <c r="H15" i="23" s="1"/>
  <c r="G14" i="23"/>
  <c r="G15" i="23" s="1"/>
  <c r="Q29" i="24"/>
  <c r="R22" i="24" s="1"/>
  <c r="P29" i="24"/>
  <c r="Q21" i="24"/>
  <c r="R15" i="24" s="1"/>
  <c r="P21" i="24"/>
  <c r="F14" i="23"/>
  <c r="F15" i="23" s="1"/>
  <c r="Q37" i="24"/>
  <c r="R30" i="24" s="1"/>
  <c r="P37" i="24"/>
  <c r="K14" i="23"/>
  <c r="Q73" i="24"/>
  <c r="R66" i="24" s="1"/>
  <c r="P73" i="24"/>
  <c r="M14" i="23"/>
  <c r="M15" i="23" s="1"/>
  <c r="Q14" i="24"/>
  <c r="R11" i="24" s="1"/>
  <c r="E14" i="23"/>
  <c r="E15" i="23" s="1"/>
  <c r="P14" i="24"/>
  <c r="P45" i="24"/>
  <c r="Q45" i="24"/>
  <c r="R38" i="24" s="1"/>
  <c r="L14" i="23"/>
  <c r="L15" i="23" s="1"/>
  <c r="D2" i="24"/>
  <c r="Q10" i="24"/>
  <c r="R5" i="24" s="1"/>
  <c r="P10" i="24"/>
  <c r="D14" i="23"/>
  <c r="Q65" i="24"/>
  <c r="R59" i="24" s="1"/>
  <c r="P65" i="24"/>
  <c r="J14" i="23"/>
  <c r="J15" i="23" s="1"/>
  <c r="P32" i="22"/>
  <c r="Q32" i="22"/>
  <c r="N65" i="22"/>
  <c r="AF65" i="22"/>
  <c r="AG59" i="22" s="1"/>
  <c r="AE65" i="22"/>
  <c r="Q40" i="22"/>
  <c r="P40" i="22"/>
  <c r="Q54" i="22"/>
  <c r="P54" i="22"/>
  <c r="AF72" i="22"/>
  <c r="AG66" i="22" s="1"/>
  <c r="AE72" i="22"/>
  <c r="N72" i="22"/>
  <c r="Q47" i="22"/>
  <c r="P47" i="22"/>
  <c r="P23" i="22"/>
  <c r="Q23" i="22"/>
  <c r="N45" i="22"/>
  <c r="AF45" i="22"/>
  <c r="AG37" i="22" s="1"/>
  <c r="AE45" i="22"/>
  <c r="Q6" i="22"/>
  <c r="P6" i="22"/>
  <c r="Q55" i="22"/>
  <c r="P55" i="22"/>
  <c r="P13" i="22"/>
  <c r="Q13" i="22"/>
  <c r="P60" i="22"/>
  <c r="Q60" i="22"/>
  <c r="N26" i="22"/>
  <c r="AF26" i="22"/>
  <c r="AG20" i="22" s="1"/>
  <c r="AE26" i="22"/>
  <c r="P41" i="22"/>
  <c r="Q41" i="22"/>
  <c r="Q44" i="22"/>
  <c r="P44" i="22"/>
  <c r="AF14" i="22"/>
  <c r="AG11" i="22" s="1"/>
  <c r="AE14" i="22"/>
  <c r="N14" i="22"/>
  <c r="Q31" i="22"/>
  <c r="P31" i="22"/>
  <c r="P21" i="22"/>
  <c r="Q21" i="22"/>
  <c r="Q11" i="22"/>
  <c r="P11" i="22"/>
  <c r="Q28" i="22"/>
  <c r="P28" i="22"/>
  <c r="Q18" i="22"/>
  <c r="P18" i="22"/>
  <c r="Q33" i="22"/>
  <c r="P33" i="22"/>
  <c r="Q64" i="22"/>
  <c r="P64" i="22"/>
  <c r="P48" i="22"/>
  <c r="Q48" i="22"/>
  <c r="AE10" i="22"/>
  <c r="N10" i="22"/>
  <c r="AF10" i="22"/>
  <c r="AG5" i="22" s="1"/>
  <c r="Q67" i="22"/>
  <c r="P67" i="22"/>
  <c r="Q34" i="22"/>
  <c r="P34" i="22"/>
  <c r="P20" i="22"/>
  <c r="Q20" i="22"/>
  <c r="P59" i="22"/>
  <c r="Q59" i="22"/>
  <c r="P30" i="22"/>
  <c r="Q30" i="22"/>
  <c r="P27" i="22"/>
  <c r="Q27" i="22"/>
  <c r="Q15" i="22"/>
  <c r="P15" i="22"/>
  <c r="N19" i="22"/>
  <c r="AF19" i="22"/>
  <c r="AG15" i="22" s="1"/>
  <c r="AE19" i="22"/>
  <c r="P62" i="22"/>
  <c r="Q62" i="22"/>
  <c r="N58" i="22"/>
  <c r="AF58" i="22"/>
  <c r="AG51" i="22" s="1"/>
  <c r="AE58" i="22"/>
  <c r="Q51" i="22"/>
  <c r="P51" i="22"/>
  <c r="N50" i="22"/>
  <c r="AE50" i="22"/>
  <c r="AF50" i="22"/>
  <c r="AG46" i="22" s="1"/>
  <c r="Q5" i="22"/>
  <c r="P5" i="22"/>
  <c r="Q57" i="22"/>
  <c r="P57" i="22"/>
  <c r="AE36" i="22"/>
  <c r="N36" i="22"/>
  <c r="AF36" i="22"/>
  <c r="AG27" i="22" s="1"/>
  <c r="Q12" i="22"/>
  <c r="P12" i="22"/>
  <c r="Q16" i="22"/>
  <c r="P16" i="22"/>
  <c r="P43" i="22"/>
  <c r="Q43" i="22"/>
  <c r="P71" i="22"/>
  <c r="Q71" i="22"/>
  <c r="Q39" i="22"/>
  <c r="P39" i="22"/>
  <c r="P53" i="22"/>
  <c r="Q53" i="22"/>
  <c r="Q61" i="22"/>
  <c r="P61" i="22"/>
  <c r="Q22" i="22"/>
  <c r="P22" i="22"/>
  <c r="Q25" i="22"/>
  <c r="P25" i="22"/>
  <c r="P8" i="22"/>
  <c r="Q8" i="22"/>
  <c r="K15" i="23" l="1"/>
  <c r="I8" i="23" s="1"/>
  <c r="I7" i="23"/>
  <c r="D15" i="23"/>
  <c r="G7" i="23"/>
  <c r="F7" i="23"/>
  <c r="E7" i="23"/>
  <c r="P19" i="22"/>
  <c r="Q19" i="22"/>
  <c r="R15" i="22" s="1"/>
  <c r="F14" i="21"/>
  <c r="F15" i="21" s="1"/>
  <c r="Q72" i="22"/>
  <c r="R66" i="22" s="1"/>
  <c r="P72" i="22"/>
  <c r="M14" i="21"/>
  <c r="M15" i="21" s="1"/>
  <c r="D2" i="22"/>
  <c r="Q10" i="22"/>
  <c r="R5" i="22" s="1"/>
  <c r="P10" i="22"/>
  <c r="D14" i="21"/>
  <c r="Q45" i="22"/>
  <c r="R37" i="22" s="1"/>
  <c r="P45" i="22"/>
  <c r="L14" i="21"/>
  <c r="L15" i="21" s="1"/>
  <c r="P26" i="22"/>
  <c r="Q26" i="22"/>
  <c r="R20" i="22" s="1"/>
  <c r="G14" i="21"/>
  <c r="G15" i="21" s="1"/>
  <c r="Q50" i="22"/>
  <c r="R46" i="22" s="1"/>
  <c r="H14" i="21"/>
  <c r="H15" i="21" s="1"/>
  <c r="P50" i="22"/>
  <c r="K14" i="21"/>
  <c r="Q36" i="22"/>
  <c r="R27" i="22" s="1"/>
  <c r="P36" i="22"/>
  <c r="P65" i="22"/>
  <c r="Q65" i="22"/>
  <c r="R59" i="22" s="1"/>
  <c r="J14" i="21"/>
  <c r="J15" i="21" s="1"/>
  <c r="I14" i="21"/>
  <c r="I15" i="21" s="1"/>
  <c r="P58" i="22"/>
  <c r="Q58" i="22"/>
  <c r="R51" i="22" s="1"/>
  <c r="Q14" i="22"/>
  <c r="R11" i="22" s="1"/>
  <c r="P14" i="22"/>
  <c r="E14" i="21"/>
  <c r="E15" i="21" s="1"/>
  <c r="E8" i="23" l="1"/>
  <c r="G8" i="23"/>
  <c r="F8" i="23"/>
  <c r="G7" i="21"/>
  <c r="F7" i="21"/>
  <c r="D15" i="21"/>
  <c r="E7" i="21"/>
  <c r="K15" i="21"/>
  <c r="I8" i="21" s="1"/>
  <c r="I7" i="21"/>
  <c r="G8" i="21" l="1"/>
  <c r="F8" i="21"/>
  <c r="E8" i="21"/>
  <c r="AD68" i="18" l="1"/>
  <c r="Z68" i="18"/>
  <c r="Y68" i="18"/>
  <c r="O68" i="18"/>
  <c r="K68" i="18"/>
  <c r="AF67" i="18"/>
  <c r="V67" i="18"/>
  <c r="U67" i="18"/>
  <c r="O67" i="18"/>
  <c r="M67" i="18"/>
  <c r="AE67" i="18" s="1"/>
  <c r="K67" i="18"/>
  <c r="G67" i="18"/>
  <c r="AE66" i="18"/>
  <c r="X66" i="18"/>
  <c r="W66" i="18"/>
  <c r="V66" i="18"/>
  <c r="U66" i="18"/>
  <c r="O66" i="18"/>
  <c r="N66" i="18"/>
  <c r="Q66" i="18" s="1"/>
  <c r="M66" i="18"/>
  <c r="AF66" i="18" s="1"/>
  <c r="K66" i="18"/>
  <c r="G66" i="18"/>
  <c r="AF65" i="18"/>
  <c r="V65" i="18"/>
  <c r="U65" i="18"/>
  <c r="O65" i="18"/>
  <c r="M65" i="18"/>
  <c r="AE65" i="18" s="1"/>
  <c r="K65" i="18"/>
  <c r="G65" i="18"/>
  <c r="AF64" i="18"/>
  <c r="AE64" i="18"/>
  <c r="V64" i="18"/>
  <c r="U64" i="18"/>
  <c r="O64" i="18"/>
  <c r="M64" i="18"/>
  <c r="N64" i="18" s="1"/>
  <c r="K64" i="18"/>
  <c r="G64" i="18"/>
  <c r="V63" i="18"/>
  <c r="M63" i="18" s="1"/>
  <c r="U63" i="18"/>
  <c r="O63" i="18"/>
  <c r="K63" i="18"/>
  <c r="G63" i="18"/>
  <c r="AF62" i="18"/>
  <c r="X62" i="18"/>
  <c r="W62" i="18"/>
  <c r="V62" i="18"/>
  <c r="O62" i="18"/>
  <c r="M62" i="18"/>
  <c r="N62" i="18" s="1"/>
  <c r="K62" i="18"/>
  <c r="G62" i="18"/>
  <c r="AD61" i="18"/>
  <c r="Z61" i="18"/>
  <c r="Y61" i="18"/>
  <c r="O61" i="18"/>
  <c r="K61" i="18"/>
  <c r="V60" i="18"/>
  <c r="M60" i="18" s="1"/>
  <c r="U60" i="18"/>
  <c r="O60" i="18"/>
  <c r="K60" i="18"/>
  <c r="G60" i="18"/>
  <c r="V59" i="18"/>
  <c r="M59" i="18" s="1"/>
  <c r="U59" i="18"/>
  <c r="O59" i="18"/>
  <c r="K59" i="18"/>
  <c r="G59" i="18"/>
  <c r="V58" i="18"/>
  <c r="M58" i="18" s="1"/>
  <c r="U58" i="18"/>
  <c r="O58" i="18"/>
  <c r="K58" i="18"/>
  <c r="G58" i="18"/>
  <c r="V57" i="18"/>
  <c r="M57" i="18" s="1"/>
  <c r="U57" i="18"/>
  <c r="O57" i="18"/>
  <c r="K57" i="18"/>
  <c r="G57" i="18"/>
  <c r="V56" i="18"/>
  <c r="M56" i="18" s="1"/>
  <c r="U56" i="18"/>
  <c r="O56" i="18"/>
  <c r="K56" i="18"/>
  <c r="G56" i="18"/>
  <c r="V55" i="18"/>
  <c r="M55" i="18" s="1"/>
  <c r="O55" i="18"/>
  <c r="K55" i="18"/>
  <c r="G55" i="18"/>
  <c r="AD54" i="18"/>
  <c r="Z54" i="18"/>
  <c r="I19" i="17" s="1"/>
  <c r="Y54" i="18"/>
  <c r="I18" i="17" s="1"/>
  <c r="O54" i="18"/>
  <c r="K54" i="18"/>
  <c r="V53" i="18"/>
  <c r="U53" i="18"/>
  <c r="O53" i="18"/>
  <c r="M53" i="18"/>
  <c r="AF53" i="18" s="1"/>
  <c r="K53" i="18"/>
  <c r="G53" i="18"/>
  <c r="V52" i="18"/>
  <c r="U52" i="18"/>
  <c r="O52" i="18"/>
  <c r="N52" i="18"/>
  <c r="Q52" i="18" s="1"/>
  <c r="M52" i="18"/>
  <c r="AF52" i="18" s="1"/>
  <c r="K52" i="18"/>
  <c r="G52" i="18"/>
  <c r="V51" i="18"/>
  <c r="U51" i="18"/>
  <c r="O51" i="18"/>
  <c r="M51" i="18"/>
  <c r="AF51" i="18" s="1"/>
  <c r="K51" i="18"/>
  <c r="G51" i="18"/>
  <c r="V50" i="18"/>
  <c r="U50" i="18"/>
  <c r="O50" i="18"/>
  <c r="N50" i="18"/>
  <c r="Q50" i="18" s="1"/>
  <c r="M50" i="18"/>
  <c r="AF50" i="18" s="1"/>
  <c r="K50" i="18"/>
  <c r="G50" i="18"/>
  <c r="AF49" i="18"/>
  <c r="V49" i="18"/>
  <c r="U49" i="18"/>
  <c r="O49" i="18"/>
  <c r="M49" i="18"/>
  <c r="AE49" i="18" s="1"/>
  <c r="K49" i="18"/>
  <c r="G49" i="18"/>
  <c r="AF48" i="18"/>
  <c r="AE48" i="18"/>
  <c r="V48" i="18"/>
  <c r="U48" i="18"/>
  <c r="O48" i="18"/>
  <c r="M48" i="18"/>
  <c r="N48" i="18" s="1"/>
  <c r="K48" i="18"/>
  <c r="G48" i="18"/>
  <c r="AF47" i="18"/>
  <c r="AE47" i="18"/>
  <c r="V47" i="18"/>
  <c r="O47" i="18"/>
  <c r="M47" i="18"/>
  <c r="M54" i="18" s="1"/>
  <c r="K47" i="18"/>
  <c r="G47" i="18"/>
  <c r="AD46" i="18"/>
  <c r="H21" i="17" s="1"/>
  <c r="Z46" i="18"/>
  <c r="Y46" i="18"/>
  <c r="O46" i="18"/>
  <c r="K46" i="18"/>
  <c r="V45" i="18"/>
  <c r="M45" i="18" s="1"/>
  <c r="U45" i="18"/>
  <c r="O45" i="18"/>
  <c r="K45" i="18"/>
  <c r="G45" i="18"/>
  <c r="V44" i="18"/>
  <c r="M44" i="18" s="1"/>
  <c r="U44" i="18"/>
  <c r="O44" i="18"/>
  <c r="K44" i="18"/>
  <c r="G44" i="18"/>
  <c r="V43" i="18"/>
  <c r="M43" i="18" s="1"/>
  <c r="U43" i="18"/>
  <c r="O43" i="18"/>
  <c r="K43" i="18"/>
  <c r="G43" i="18"/>
  <c r="X42" i="18"/>
  <c r="W42" i="18"/>
  <c r="V42" i="18"/>
  <c r="M42" i="18" s="1"/>
  <c r="O42" i="18"/>
  <c r="K42" i="18"/>
  <c r="G42" i="18"/>
  <c r="AD41" i="18"/>
  <c r="L21" i="17" s="1"/>
  <c r="Z41" i="18"/>
  <c r="L19" i="17" s="1"/>
  <c r="Y41" i="18"/>
  <c r="L18" i="17" s="1"/>
  <c r="O41" i="18"/>
  <c r="K41" i="18"/>
  <c r="V40" i="18"/>
  <c r="M40" i="18" s="1"/>
  <c r="U40" i="18"/>
  <c r="O40" i="18"/>
  <c r="K40" i="18"/>
  <c r="G40" i="18"/>
  <c r="V39" i="18"/>
  <c r="M39" i="18" s="1"/>
  <c r="U39" i="18"/>
  <c r="O39" i="18"/>
  <c r="K39" i="18"/>
  <c r="G39" i="18"/>
  <c r="X38" i="18"/>
  <c r="W38" i="18"/>
  <c r="V38" i="18"/>
  <c r="M38" i="18" s="1"/>
  <c r="U38" i="18"/>
  <c r="O38" i="18"/>
  <c r="K38" i="18"/>
  <c r="G38" i="18"/>
  <c r="V37" i="18"/>
  <c r="M37" i="18" s="1"/>
  <c r="U37" i="18"/>
  <c r="O37" i="18"/>
  <c r="K37" i="18"/>
  <c r="G37" i="18"/>
  <c r="V36" i="18"/>
  <c r="M36" i="18" s="1"/>
  <c r="U36" i="18"/>
  <c r="O36" i="18"/>
  <c r="K36" i="18"/>
  <c r="G36" i="18"/>
  <c r="V35" i="18"/>
  <c r="U35" i="18"/>
  <c r="O35" i="18"/>
  <c r="M35" i="18"/>
  <c r="AF35" i="18" s="1"/>
  <c r="K35" i="18"/>
  <c r="G35" i="18"/>
  <c r="X34" i="18"/>
  <c r="W34" i="18"/>
  <c r="V34" i="18"/>
  <c r="M34" i="18" s="1"/>
  <c r="O34" i="18"/>
  <c r="K34" i="18"/>
  <c r="G34" i="18"/>
  <c r="AD33" i="18"/>
  <c r="Z33" i="18"/>
  <c r="K19" i="17" s="1"/>
  <c r="Y33" i="18"/>
  <c r="K18" i="17" s="1"/>
  <c r="O33" i="18"/>
  <c r="K33" i="18"/>
  <c r="V32" i="18"/>
  <c r="U32" i="18"/>
  <c r="O32" i="18"/>
  <c r="M32" i="18"/>
  <c r="AF32" i="18" s="1"/>
  <c r="K32" i="18"/>
  <c r="G32" i="18"/>
  <c r="V31" i="18"/>
  <c r="U31" i="18"/>
  <c r="O31" i="18"/>
  <c r="N31" i="18"/>
  <c r="Q31" i="18" s="1"/>
  <c r="M31" i="18"/>
  <c r="AF31" i="18" s="1"/>
  <c r="K31" i="18"/>
  <c r="G31" i="18"/>
  <c r="V30" i="18"/>
  <c r="U30" i="18"/>
  <c r="O30" i="18"/>
  <c r="M30" i="18"/>
  <c r="AF30" i="18" s="1"/>
  <c r="K30" i="18"/>
  <c r="G30" i="18"/>
  <c r="X29" i="18"/>
  <c r="W29" i="18"/>
  <c r="V29" i="18"/>
  <c r="U29" i="18"/>
  <c r="O29" i="18"/>
  <c r="N29" i="18"/>
  <c r="Q29" i="18" s="1"/>
  <c r="M29" i="18"/>
  <c r="AF29" i="18" s="1"/>
  <c r="K29" i="18"/>
  <c r="G29" i="18"/>
  <c r="V28" i="18"/>
  <c r="U28" i="18"/>
  <c r="O28" i="18"/>
  <c r="M28" i="18"/>
  <c r="AF28" i="18" s="1"/>
  <c r="K28" i="18"/>
  <c r="G28" i="18"/>
  <c r="V27" i="18"/>
  <c r="U27" i="18"/>
  <c r="O27" i="18"/>
  <c r="N27" i="18"/>
  <c r="Q27" i="18" s="1"/>
  <c r="M27" i="18"/>
  <c r="AF27" i="18" s="1"/>
  <c r="K27" i="18"/>
  <c r="G27" i="18"/>
  <c r="X26" i="18"/>
  <c r="W26" i="18"/>
  <c r="V26" i="18"/>
  <c r="O26" i="18"/>
  <c r="N26" i="18"/>
  <c r="Q26" i="18" s="1"/>
  <c r="M26" i="18"/>
  <c r="AF26" i="18" s="1"/>
  <c r="K26" i="18"/>
  <c r="G26" i="18"/>
  <c r="AD25" i="18"/>
  <c r="Z25" i="18"/>
  <c r="Y25" i="18"/>
  <c r="O25" i="18"/>
  <c r="K25" i="18"/>
  <c r="G13" i="17" s="1"/>
  <c r="V24" i="18"/>
  <c r="U24" i="18"/>
  <c r="O24" i="18"/>
  <c r="N24" i="18"/>
  <c r="Q24" i="18" s="1"/>
  <c r="M24" i="18"/>
  <c r="AF24" i="18" s="1"/>
  <c r="K24" i="18"/>
  <c r="G24" i="18"/>
  <c r="AF23" i="18"/>
  <c r="V23" i="18"/>
  <c r="U23" i="18"/>
  <c r="O23" i="18"/>
  <c r="M23" i="18"/>
  <c r="AE23" i="18" s="1"/>
  <c r="K23" i="18"/>
  <c r="G23" i="18"/>
  <c r="AF22" i="18"/>
  <c r="AE22" i="18"/>
  <c r="V22" i="18"/>
  <c r="U22" i="18"/>
  <c r="O22" i="18"/>
  <c r="M22" i="18"/>
  <c r="N22" i="18" s="1"/>
  <c r="K22" i="18"/>
  <c r="G22" i="18"/>
  <c r="V21" i="18"/>
  <c r="M21" i="18" s="1"/>
  <c r="U21" i="18"/>
  <c r="O21" i="18"/>
  <c r="K21" i="18"/>
  <c r="G21" i="18"/>
  <c r="V20" i="18"/>
  <c r="M20" i="18" s="1"/>
  <c r="U20" i="18"/>
  <c r="O20" i="18"/>
  <c r="K20" i="18"/>
  <c r="G20" i="18"/>
  <c r="V19" i="18"/>
  <c r="M19" i="18" s="1"/>
  <c r="O19" i="18"/>
  <c r="K19" i="18"/>
  <c r="G19" i="18"/>
  <c r="AD18" i="18"/>
  <c r="F21" i="17" s="1"/>
  <c r="Z18" i="18"/>
  <c r="Y18" i="18"/>
  <c r="F18" i="17" s="1"/>
  <c r="O18" i="18"/>
  <c r="K18" i="18"/>
  <c r="V17" i="18"/>
  <c r="M17" i="18" s="1"/>
  <c r="U17" i="18"/>
  <c r="O17" i="18"/>
  <c r="K17" i="18"/>
  <c r="G17" i="18"/>
  <c r="V16" i="18"/>
  <c r="M16" i="18" s="1"/>
  <c r="U16" i="18"/>
  <c r="O16" i="18"/>
  <c r="K16" i="18"/>
  <c r="G16" i="18"/>
  <c r="V15" i="18"/>
  <c r="M15" i="18" s="1"/>
  <c r="U15" i="18"/>
  <c r="O15" i="18"/>
  <c r="K15" i="18"/>
  <c r="G15" i="18"/>
  <c r="V14" i="18"/>
  <c r="M14" i="18" s="1"/>
  <c r="O14" i="18"/>
  <c r="K14" i="18"/>
  <c r="G14" i="18"/>
  <c r="AD13" i="18"/>
  <c r="E21" i="17" s="1"/>
  <c r="Z13" i="18"/>
  <c r="Y13" i="18"/>
  <c r="O13" i="18"/>
  <c r="K13" i="18"/>
  <c r="V12" i="18"/>
  <c r="U12" i="18"/>
  <c r="O12" i="18"/>
  <c r="N12" i="18"/>
  <c r="Q12" i="18" s="1"/>
  <c r="M12" i="18"/>
  <c r="AF12" i="18" s="1"/>
  <c r="K12" i="18"/>
  <c r="G12" i="18"/>
  <c r="X11" i="18"/>
  <c r="W11" i="18"/>
  <c r="V11" i="18"/>
  <c r="U11" i="18"/>
  <c r="O11" i="18"/>
  <c r="M11" i="18"/>
  <c r="AF11" i="18" s="1"/>
  <c r="K11" i="18"/>
  <c r="G11" i="18"/>
  <c r="V10" i="18"/>
  <c r="O10" i="18"/>
  <c r="M10" i="18"/>
  <c r="M13" i="18" s="1"/>
  <c r="K10" i="18"/>
  <c r="G10" i="18"/>
  <c r="AD9" i="18"/>
  <c r="D21" i="17" s="1"/>
  <c r="Z9" i="18"/>
  <c r="Y9" i="18"/>
  <c r="Y2" i="18" s="1"/>
  <c r="K6" i="17" s="1"/>
  <c r="O9" i="18"/>
  <c r="M9" i="18"/>
  <c r="AF9" i="18" s="1"/>
  <c r="AG5" i="18" s="1"/>
  <c r="K9" i="18"/>
  <c r="V8" i="18"/>
  <c r="U8" i="18"/>
  <c r="O8" i="18"/>
  <c r="M8" i="18"/>
  <c r="AF8" i="18" s="1"/>
  <c r="K8" i="18"/>
  <c r="G8" i="18"/>
  <c r="V7" i="18"/>
  <c r="U7" i="18"/>
  <c r="O7" i="18"/>
  <c r="N7" i="18"/>
  <c r="Q7" i="18" s="1"/>
  <c r="M7" i="18"/>
  <c r="AF7" i="18" s="1"/>
  <c r="K7" i="18"/>
  <c r="G7" i="18"/>
  <c r="AF6" i="18"/>
  <c r="V6" i="18"/>
  <c r="U6" i="18"/>
  <c r="O6" i="18"/>
  <c r="M6" i="18"/>
  <c r="AE6" i="18" s="1"/>
  <c r="K6" i="18"/>
  <c r="G6" i="18"/>
  <c r="AF5" i="18"/>
  <c r="V5" i="18"/>
  <c r="O5" i="18"/>
  <c r="M5" i="18"/>
  <c r="AE5" i="18" s="1"/>
  <c r="K5" i="18"/>
  <c r="G5" i="18"/>
  <c r="F1" i="18" s="1"/>
  <c r="Z2" i="18"/>
  <c r="L6" i="17" s="1"/>
  <c r="H2" i="18"/>
  <c r="H1" i="18"/>
  <c r="D1" i="18"/>
  <c r="M22" i="17"/>
  <c r="L22" i="17"/>
  <c r="K22" i="17"/>
  <c r="J22" i="17"/>
  <c r="I22" i="17"/>
  <c r="H22" i="17"/>
  <c r="G22" i="17"/>
  <c r="F22" i="17"/>
  <c r="E22" i="17"/>
  <c r="D22" i="17"/>
  <c r="M21" i="17"/>
  <c r="K21" i="17"/>
  <c r="J21" i="17"/>
  <c r="I21" i="17"/>
  <c r="G21" i="17"/>
  <c r="M20" i="17"/>
  <c r="L20" i="17"/>
  <c r="K20" i="17"/>
  <c r="J20" i="17"/>
  <c r="I20" i="17"/>
  <c r="H20" i="17"/>
  <c r="G20" i="17"/>
  <c r="F20" i="17"/>
  <c r="E20" i="17"/>
  <c r="D20" i="17"/>
  <c r="M19" i="17"/>
  <c r="J19" i="17"/>
  <c r="H19" i="17"/>
  <c r="G19" i="17"/>
  <c r="F19" i="17"/>
  <c r="E19" i="17"/>
  <c r="D19" i="17"/>
  <c r="M18" i="17"/>
  <c r="J18" i="17"/>
  <c r="H18" i="17"/>
  <c r="G18" i="17"/>
  <c r="E18" i="17"/>
  <c r="D18" i="17"/>
  <c r="M17" i="17"/>
  <c r="L17" i="17"/>
  <c r="K17" i="17"/>
  <c r="J17" i="17"/>
  <c r="I17" i="17"/>
  <c r="H17" i="17"/>
  <c r="G17" i="17"/>
  <c r="F17" i="17"/>
  <c r="E17" i="17"/>
  <c r="D17" i="17"/>
  <c r="M16" i="17"/>
  <c r="L16" i="17"/>
  <c r="K16" i="17"/>
  <c r="J16" i="17"/>
  <c r="I16" i="17"/>
  <c r="H16" i="17"/>
  <c r="G16" i="17"/>
  <c r="F16" i="17"/>
  <c r="E16" i="17"/>
  <c r="D16" i="17"/>
  <c r="M13" i="17"/>
  <c r="L13" i="17"/>
  <c r="K13" i="17"/>
  <c r="I6" i="17" s="1"/>
  <c r="J13" i="17"/>
  <c r="I13" i="17"/>
  <c r="H13" i="17"/>
  <c r="F13" i="17"/>
  <c r="E13" i="17"/>
  <c r="D13" i="17"/>
  <c r="M6" i="17"/>
  <c r="F3" i="17"/>
  <c r="C3" i="17"/>
  <c r="N54" i="18" l="1"/>
  <c r="AF54" i="18"/>
  <c r="AG47" i="18" s="1"/>
  <c r="AE54" i="18"/>
  <c r="AF13" i="18"/>
  <c r="AG10" i="18" s="1"/>
  <c r="AE13" i="18"/>
  <c r="N13" i="18"/>
  <c r="N16" i="18"/>
  <c r="AF16" i="18"/>
  <c r="AE16" i="18"/>
  <c r="N21" i="18"/>
  <c r="AF21" i="18"/>
  <c r="AE21" i="18"/>
  <c r="N38" i="18"/>
  <c r="AF38" i="18"/>
  <c r="AE38" i="18"/>
  <c r="N40" i="18"/>
  <c r="AF40" i="18"/>
  <c r="AE40" i="18"/>
  <c r="N34" i="18"/>
  <c r="AF34" i="18"/>
  <c r="M41" i="18"/>
  <c r="AE34" i="18"/>
  <c r="Q62" i="18"/>
  <c r="P62" i="18"/>
  <c r="Q64" i="18"/>
  <c r="P64" i="18"/>
  <c r="M18" i="18"/>
  <c r="AF14" i="18"/>
  <c r="AE14" i="18"/>
  <c r="N14" i="18"/>
  <c r="N55" i="18"/>
  <c r="AF55" i="18"/>
  <c r="AE55" i="18"/>
  <c r="M61" i="18"/>
  <c r="N45" i="18"/>
  <c r="AF45" i="18"/>
  <c r="AE45" i="18"/>
  <c r="Q22" i="18"/>
  <c r="P22" i="18"/>
  <c r="N43" i="18"/>
  <c r="AF43" i="18"/>
  <c r="AE43" i="18"/>
  <c r="N17" i="18"/>
  <c r="AF17" i="18"/>
  <c r="AE17" i="18"/>
  <c r="Q48" i="18"/>
  <c r="P48" i="18"/>
  <c r="N60" i="18"/>
  <c r="AF60" i="18"/>
  <c r="AE60" i="18"/>
  <c r="N37" i="18"/>
  <c r="AF37" i="18"/>
  <c r="AE37" i="18"/>
  <c r="N39" i="18"/>
  <c r="AF39" i="18"/>
  <c r="AE39" i="18"/>
  <c r="N58" i="18"/>
  <c r="AF58" i="18"/>
  <c r="AE58" i="18"/>
  <c r="F2" i="18"/>
  <c r="I3" i="17"/>
  <c r="N19" i="18"/>
  <c r="AF19" i="18"/>
  <c r="AE19" i="18"/>
  <c r="M25" i="18"/>
  <c r="AF36" i="18"/>
  <c r="AE36" i="18"/>
  <c r="N36" i="18"/>
  <c r="N57" i="18"/>
  <c r="AF57" i="18"/>
  <c r="AE57" i="18"/>
  <c r="AF15" i="18"/>
  <c r="AE15" i="18"/>
  <c r="N15" i="18"/>
  <c r="N20" i="18"/>
  <c r="AF20" i="18"/>
  <c r="AE20" i="18"/>
  <c r="N56" i="18"/>
  <c r="AF56" i="18"/>
  <c r="AE56" i="18"/>
  <c r="N63" i="18"/>
  <c r="AF63" i="18"/>
  <c r="M68" i="18"/>
  <c r="AE63" i="18"/>
  <c r="N42" i="18"/>
  <c r="M46" i="18"/>
  <c r="AF42" i="18"/>
  <c r="AE42" i="18"/>
  <c r="N44" i="18"/>
  <c r="AF44" i="18"/>
  <c r="AE44" i="18"/>
  <c r="G6" i="17"/>
  <c r="F6" i="17"/>
  <c r="E6" i="17"/>
  <c r="N59" i="18"/>
  <c r="AF59" i="18"/>
  <c r="AE59" i="18"/>
  <c r="AD2" i="18"/>
  <c r="N6" i="17" s="1"/>
  <c r="N9" i="18"/>
  <c r="N10" i="18"/>
  <c r="N11" i="18"/>
  <c r="N32" i="18"/>
  <c r="N35" i="18"/>
  <c r="N53" i="18"/>
  <c r="AE62" i="18"/>
  <c r="N8" i="18"/>
  <c r="N28" i="18"/>
  <c r="N30" i="18"/>
  <c r="N51" i="18"/>
  <c r="P12" i="18"/>
  <c r="P26" i="18"/>
  <c r="P29" i="18"/>
  <c r="P31" i="18"/>
  <c r="P52" i="18"/>
  <c r="N5" i="18"/>
  <c r="N6" i="18"/>
  <c r="N23" i="18"/>
  <c r="N49" i="18"/>
  <c r="N65" i="18"/>
  <c r="N67" i="18"/>
  <c r="P7" i="18"/>
  <c r="P24" i="18"/>
  <c r="P27" i="18"/>
  <c r="N47" i="18"/>
  <c r="P50" i="18"/>
  <c r="P66" i="18"/>
  <c r="AE10" i="18"/>
  <c r="AE32" i="18"/>
  <c r="AE35" i="18"/>
  <c r="AE53" i="18"/>
  <c r="AE9" i="18"/>
  <c r="AF10" i="18"/>
  <c r="AE12" i="18"/>
  <c r="AE31" i="18"/>
  <c r="AE52" i="18"/>
  <c r="AE8" i="18"/>
  <c r="AE11" i="18"/>
  <c r="AE28" i="18"/>
  <c r="AE30" i="18"/>
  <c r="AE51" i="18"/>
  <c r="AE7" i="18"/>
  <c r="AE24" i="18"/>
  <c r="AE26" i="18"/>
  <c r="AE27" i="18"/>
  <c r="AE29" i="18"/>
  <c r="M33" i="18"/>
  <c r="AE50" i="18"/>
  <c r="AD66" i="16"/>
  <c r="Z66" i="16"/>
  <c r="M19" i="15" s="1"/>
  <c r="Y66" i="16"/>
  <c r="O66" i="16"/>
  <c r="K66" i="16"/>
  <c r="M13" i="15" s="1"/>
  <c r="V65" i="16"/>
  <c r="U65" i="16"/>
  <c r="O65" i="16"/>
  <c r="M65" i="16"/>
  <c r="AF65" i="16" s="1"/>
  <c r="K65" i="16"/>
  <c r="G65" i="16"/>
  <c r="X64" i="16"/>
  <c r="W64" i="16"/>
  <c r="V64" i="16"/>
  <c r="U64" i="16"/>
  <c r="O64" i="16"/>
  <c r="M64" i="16"/>
  <c r="AF64" i="16" s="1"/>
  <c r="K64" i="16"/>
  <c r="G64" i="16"/>
  <c r="V63" i="16"/>
  <c r="M63" i="16" s="1"/>
  <c r="U63" i="16"/>
  <c r="O63" i="16"/>
  <c r="K63" i="16"/>
  <c r="G63" i="16"/>
  <c r="V62" i="16"/>
  <c r="U62" i="16"/>
  <c r="O62" i="16"/>
  <c r="M62" i="16"/>
  <c r="AF62" i="16" s="1"/>
  <c r="K62" i="16"/>
  <c r="G62" i="16"/>
  <c r="V61" i="16"/>
  <c r="M61" i="16" s="1"/>
  <c r="U61" i="16"/>
  <c r="O61" i="16"/>
  <c r="K61" i="16"/>
  <c r="G61" i="16"/>
  <c r="X60" i="16"/>
  <c r="W60" i="16"/>
  <c r="V60" i="16"/>
  <c r="O60" i="16"/>
  <c r="M60" i="16"/>
  <c r="M66" i="16" s="1"/>
  <c r="K60" i="16"/>
  <c r="G60" i="16"/>
  <c r="AD59" i="16"/>
  <c r="Z59" i="16"/>
  <c r="Y59" i="16"/>
  <c r="O59" i="16"/>
  <c r="K59" i="16"/>
  <c r="J13" i="15" s="1"/>
  <c r="V58" i="16"/>
  <c r="M58" i="16" s="1"/>
  <c r="U58" i="16"/>
  <c r="O58" i="16"/>
  <c r="K58" i="16"/>
  <c r="G58" i="16"/>
  <c r="V57" i="16"/>
  <c r="U57" i="16"/>
  <c r="O57" i="16"/>
  <c r="M57" i="16"/>
  <c r="AF57" i="16" s="1"/>
  <c r="K57" i="16"/>
  <c r="G57" i="16"/>
  <c r="V56" i="16"/>
  <c r="M56" i="16" s="1"/>
  <c r="U56" i="16"/>
  <c r="O56" i="16"/>
  <c r="K56" i="16"/>
  <c r="G56" i="16"/>
  <c r="V55" i="16"/>
  <c r="U55" i="16"/>
  <c r="O55" i="16"/>
  <c r="M55" i="16"/>
  <c r="AF55" i="16" s="1"/>
  <c r="K55" i="16"/>
  <c r="G55" i="16"/>
  <c r="V54" i="16"/>
  <c r="M54" i="16" s="1"/>
  <c r="U54" i="16"/>
  <c r="O54" i="16"/>
  <c r="K54" i="16"/>
  <c r="G54" i="16"/>
  <c r="V53" i="16"/>
  <c r="O53" i="16"/>
  <c r="N53" i="16"/>
  <c r="Q53" i="16" s="1"/>
  <c r="M53" i="16"/>
  <c r="AF53" i="16" s="1"/>
  <c r="K53" i="16"/>
  <c r="G53" i="16"/>
  <c r="AD52" i="16"/>
  <c r="Z52" i="16"/>
  <c r="Y52" i="16"/>
  <c r="O52" i="16"/>
  <c r="K52" i="16"/>
  <c r="I13" i="15" s="1"/>
  <c r="V51" i="16"/>
  <c r="U51" i="16"/>
  <c r="O51" i="16"/>
  <c r="M51" i="16"/>
  <c r="AF51" i="16" s="1"/>
  <c r="K51" i="16"/>
  <c r="G51" i="16"/>
  <c r="V50" i="16"/>
  <c r="U50" i="16"/>
  <c r="O50" i="16"/>
  <c r="M50" i="16"/>
  <c r="AE50" i="16" s="1"/>
  <c r="K50" i="16"/>
  <c r="G50" i="16"/>
  <c r="V49" i="16"/>
  <c r="M49" i="16" s="1"/>
  <c r="U49" i="16"/>
  <c r="O49" i="16"/>
  <c r="K49" i="16"/>
  <c r="G49" i="16"/>
  <c r="V48" i="16"/>
  <c r="U48" i="16"/>
  <c r="O48" i="16"/>
  <c r="M48" i="16"/>
  <c r="AF48" i="16" s="1"/>
  <c r="K48" i="16"/>
  <c r="G48" i="16"/>
  <c r="V47" i="16"/>
  <c r="M47" i="16" s="1"/>
  <c r="U47" i="16"/>
  <c r="O47" i="16"/>
  <c r="K47" i="16"/>
  <c r="G47" i="16"/>
  <c r="V46" i="16"/>
  <c r="U46" i="16"/>
  <c r="O46" i="16"/>
  <c r="M46" i="16"/>
  <c r="AF46" i="16" s="1"/>
  <c r="K46" i="16"/>
  <c r="G46" i="16"/>
  <c r="AF45" i="16"/>
  <c r="AE45" i="16"/>
  <c r="V45" i="16"/>
  <c r="O45" i="16"/>
  <c r="M45" i="16"/>
  <c r="N45" i="16" s="1"/>
  <c r="K45" i="16"/>
  <c r="G45" i="16"/>
  <c r="AD44" i="16"/>
  <c r="H21" i="15" s="1"/>
  <c r="Z44" i="16"/>
  <c r="H19" i="15" s="1"/>
  <c r="Y44" i="16"/>
  <c r="H18" i="15" s="1"/>
  <c r="O44" i="16"/>
  <c r="K44" i="16"/>
  <c r="H13" i="15" s="1"/>
  <c r="V43" i="16"/>
  <c r="U43" i="16"/>
  <c r="O43" i="16"/>
  <c r="M43" i="16"/>
  <c r="AF43" i="16" s="1"/>
  <c r="K43" i="16"/>
  <c r="G43" i="16"/>
  <c r="V42" i="16"/>
  <c r="U42" i="16"/>
  <c r="O42" i="16"/>
  <c r="M42" i="16"/>
  <c r="AF42" i="16" s="1"/>
  <c r="K42" i="16"/>
  <c r="G42" i="16"/>
  <c r="V41" i="16"/>
  <c r="U41" i="16"/>
  <c r="O41" i="16"/>
  <c r="M41" i="16"/>
  <c r="AE41" i="16" s="1"/>
  <c r="K41" i="16"/>
  <c r="G41" i="16"/>
  <c r="X40" i="16"/>
  <c r="W40" i="16"/>
  <c r="V40" i="16"/>
  <c r="M40" i="16" s="1"/>
  <c r="O40" i="16"/>
  <c r="K40" i="16"/>
  <c r="G40" i="16"/>
  <c r="AD39" i="16"/>
  <c r="L21" i="15" s="1"/>
  <c r="Z39" i="16"/>
  <c r="L19" i="15" s="1"/>
  <c r="Y39" i="16"/>
  <c r="O39" i="16"/>
  <c r="K39" i="16"/>
  <c r="L13" i="15" s="1"/>
  <c r="AF38" i="16"/>
  <c r="AE38" i="16"/>
  <c r="V38" i="16"/>
  <c r="U38" i="16"/>
  <c r="O38" i="16"/>
  <c r="M38" i="16"/>
  <c r="N38" i="16" s="1"/>
  <c r="K38" i="16"/>
  <c r="G38" i="16"/>
  <c r="V37" i="16"/>
  <c r="U37" i="16"/>
  <c r="O37" i="16"/>
  <c r="N37" i="16"/>
  <c r="Q37" i="16" s="1"/>
  <c r="M37" i="16"/>
  <c r="AF37" i="16" s="1"/>
  <c r="K37" i="16"/>
  <c r="G37" i="16"/>
  <c r="X36" i="16"/>
  <c r="W36" i="16"/>
  <c r="V36" i="16"/>
  <c r="U36" i="16"/>
  <c r="O36" i="16"/>
  <c r="M36" i="16"/>
  <c r="AF36" i="16" s="1"/>
  <c r="K36" i="16"/>
  <c r="G36" i="16"/>
  <c r="V35" i="16"/>
  <c r="M35" i="16" s="1"/>
  <c r="U35" i="16"/>
  <c r="O35" i="16"/>
  <c r="K35" i="16"/>
  <c r="G35" i="16"/>
  <c r="V34" i="16"/>
  <c r="U34" i="16"/>
  <c r="O34" i="16"/>
  <c r="M34" i="16"/>
  <c r="AF34" i="16" s="1"/>
  <c r="K34" i="16"/>
  <c r="G34" i="16"/>
  <c r="V33" i="16"/>
  <c r="M33" i="16" s="1"/>
  <c r="U33" i="16"/>
  <c r="O33" i="16"/>
  <c r="K33" i="16"/>
  <c r="G33" i="16"/>
  <c r="X32" i="16"/>
  <c r="W32" i="16"/>
  <c r="V32" i="16"/>
  <c r="O32" i="16"/>
  <c r="N32" i="16"/>
  <c r="Q32" i="16" s="1"/>
  <c r="M32" i="16"/>
  <c r="AF32" i="16" s="1"/>
  <c r="K32" i="16"/>
  <c r="G32" i="16"/>
  <c r="AD31" i="16"/>
  <c r="Z31" i="16"/>
  <c r="Y31" i="16"/>
  <c r="O31" i="16"/>
  <c r="K31" i="16"/>
  <c r="K13" i="15" s="1"/>
  <c r="V30" i="16"/>
  <c r="U30" i="16"/>
  <c r="O30" i="16"/>
  <c r="M30" i="16"/>
  <c r="AF30" i="16" s="1"/>
  <c r="K30" i="16"/>
  <c r="G30" i="16"/>
  <c r="V29" i="16"/>
  <c r="U29" i="16"/>
  <c r="O29" i="16"/>
  <c r="M29" i="16"/>
  <c r="AE29" i="16" s="1"/>
  <c r="K29" i="16"/>
  <c r="G29" i="16"/>
  <c r="X28" i="16"/>
  <c r="W28" i="16"/>
  <c r="V28" i="16"/>
  <c r="M28" i="16" s="1"/>
  <c r="U28" i="16"/>
  <c r="O28" i="16"/>
  <c r="K28" i="16"/>
  <c r="G28" i="16"/>
  <c r="V27" i="16"/>
  <c r="U27" i="16"/>
  <c r="O27" i="16"/>
  <c r="M27" i="16"/>
  <c r="AF27" i="16" s="1"/>
  <c r="K27" i="16"/>
  <c r="G27" i="16"/>
  <c r="V26" i="16"/>
  <c r="M26" i="16" s="1"/>
  <c r="U26" i="16"/>
  <c r="O26" i="16"/>
  <c r="K26" i="16"/>
  <c r="G26" i="16"/>
  <c r="X25" i="16"/>
  <c r="W25" i="16"/>
  <c r="V25" i="16"/>
  <c r="O25" i="16"/>
  <c r="M25" i="16"/>
  <c r="K25" i="16"/>
  <c r="G25" i="16"/>
  <c r="AD24" i="16"/>
  <c r="Z24" i="16"/>
  <c r="Y24" i="16"/>
  <c r="G18" i="15" s="1"/>
  <c r="O24" i="16"/>
  <c r="K24" i="16"/>
  <c r="G13" i="15" s="1"/>
  <c r="V23" i="16"/>
  <c r="M23" i="16" s="1"/>
  <c r="U23" i="16"/>
  <c r="O23" i="16"/>
  <c r="K23" i="16"/>
  <c r="G23" i="16"/>
  <c r="V22" i="16"/>
  <c r="U22" i="16"/>
  <c r="O22" i="16"/>
  <c r="M22" i="16"/>
  <c r="AF22" i="16" s="1"/>
  <c r="K22" i="16"/>
  <c r="G22" i="16"/>
  <c r="V21" i="16"/>
  <c r="M21" i="16" s="1"/>
  <c r="U21" i="16"/>
  <c r="O21" i="16"/>
  <c r="K21" i="16"/>
  <c r="G21" i="16"/>
  <c r="V20" i="16"/>
  <c r="U20" i="16"/>
  <c r="O20" i="16"/>
  <c r="M20" i="16"/>
  <c r="AF20" i="16" s="1"/>
  <c r="K20" i="16"/>
  <c r="G20" i="16"/>
  <c r="V19" i="16"/>
  <c r="M19" i="16" s="1"/>
  <c r="U19" i="16"/>
  <c r="O19" i="16"/>
  <c r="K19" i="16"/>
  <c r="G19" i="16"/>
  <c r="V18" i="16"/>
  <c r="O18" i="16"/>
  <c r="N18" i="16"/>
  <c r="Q18" i="16" s="1"/>
  <c r="M18" i="16"/>
  <c r="AF18" i="16" s="1"/>
  <c r="K18" i="16"/>
  <c r="G18" i="16"/>
  <c r="AD17" i="16"/>
  <c r="Z17" i="16"/>
  <c r="Y17" i="16"/>
  <c r="F18" i="15" s="1"/>
  <c r="O17" i="16"/>
  <c r="K17" i="16"/>
  <c r="V16" i="16"/>
  <c r="U16" i="16"/>
  <c r="O16" i="16"/>
  <c r="M16" i="16"/>
  <c r="AF16" i="16" s="1"/>
  <c r="K16" i="16"/>
  <c r="G16" i="16"/>
  <c r="V15" i="16"/>
  <c r="U15" i="16"/>
  <c r="O15" i="16"/>
  <c r="M15" i="16"/>
  <c r="AF15" i="16" s="1"/>
  <c r="K15" i="16"/>
  <c r="G15" i="16"/>
  <c r="V14" i="16"/>
  <c r="M14" i="16" s="1"/>
  <c r="U14" i="16"/>
  <c r="O14" i="16"/>
  <c r="K14" i="16"/>
  <c r="G14" i="16"/>
  <c r="V13" i="16"/>
  <c r="O13" i="16"/>
  <c r="M13" i="16"/>
  <c r="AE13" i="16" s="1"/>
  <c r="K13" i="16"/>
  <c r="G13" i="16"/>
  <c r="AD12" i="16"/>
  <c r="E21" i="15" s="1"/>
  <c r="Z12" i="16"/>
  <c r="E19" i="15" s="1"/>
  <c r="Y12" i="16"/>
  <c r="O12" i="16"/>
  <c r="K12" i="16"/>
  <c r="V11" i="16"/>
  <c r="U11" i="16"/>
  <c r="O11" i="16"/>
  <c r="M11" i="16"/>
  <c r="AF11" i="16" s="1"/>
  <c r="K11" i="16"/>
  <c r="G11" i="16"/>
  <c r="F1" i="16" s="1"/>
  <c r="AF10" i="16"/>
  <c r="V10" i="16"/>
  <c r="O10" i="16"/>
  <c r="M10" i="16"/>
  <c r="AE10" i="16" s="1"/>
  <c r="K10" i="16"/>
  <c r="G10" i="16"/>
  <c r="AD9" i="16"/>
  <c r="AD2" i="16" s="1"/>
  <c r="N6" i="15" s="1"/>
  <c r="Z9" i="16"/>
  <c r="Z2" i="16" s="1"/>
  <c r="L6" i="15" s="1"/>
  <c r="Y9" i="16"/>
  <c r="D18" i="15" s="1"/>
  <c r="O9" i="16"/>
  <c r="K9" i="16"/>
  <c r="V8" i="16"/>
  <c r="U8" i="16"/>
  <c r="O8" i="16"/>
  <c r="M8" i="16"/>
  <c r="AF8" i="16" s="1"/>
  <c r="K8" i="16"/>
  <c r="G8" i="16"/>
  <c r="V7" i="16"/>
  <c r="M7" i="16" s="1"/>
  <c r="U7" i="16"/>
  <c r="O7" i="16"/>
  <c r="K7" i="16"/>
  <c r="G7" i="16"/>
  <c r="V6" i="16"/>
  <c r="U6" i="16"/>
  <c r="O6" i="16"/>
  <c r="M6" i="16"/>
  <c r="AE6" i="16" s="1"/>
  <c r="K6" i="16"/>
  <c r="G6" i="16"/>
  <c r="V5" i="16"/>
  <c r="M5" i="16" s="1"/>
  <c r="O5" i="16"/>
  <c r="K5" i="16"/>
  <c r="G5" i="16"/>
  <c r="H2" i="16"/>
  <c r="H1" i="16"/>
  <c r="D1" i="16"/>
  <c r="F3" i="15" s="1"/>
  <c r="M22" i="15"/>
  <c r="L22" i="15"/>
  <c r="K22" i="15"/>
  <c r="J22" i="15"/>
  <c r="I22" i="15"/>
  <c r="H22" i="15"/>
  <c r="G22" i="15"/>
  <c r="F22" i="15"/>
  <c r="E22" i="15"/>
  <c r="D22" i="15"/>
  <c r="M21" i="15"/>
  <c r="K21" i="15"/>
  <c r="J21" i="15"/>
  <c r="I21" i="15"/>
  <c r="G21" i="15"/>
  <c r="F21" i="15"/>
  <c r="D21" i="15"/>
  <c r="M20" i="15"/>
  <c r="L20" i="15"/>
  <c r="K20" i="15"/>
  <c r="J20" i="15"/>
  <c r="I20" i="15"/>
  <c r="H20" i="15"/>
  <c r="G20" i="15"/>
  <c r="F20" i="15"/>
  <c r="E20" i="15"/>
  <c r="D20" i="15"/>
  <c r="K19" i="15"/>
  <c r="J19" i="15"/>
  <c r="I19" i="15"/>
  <c r="G19" i="15"/>
  <c r="F19" i="15"/>
  <c r="D19" i="15"/>
  <c r="M18" i="15"/>
  <c r="L18" i="15"/>
  <c r="K18" i="15"/>
  <c r="J18" i="15"/>
  <c r="I18" i="15"/>
  <c r="E18" i="15"/>
  <c r="M17" i="15"/>
  <c r="L17" i="15"/>
  <c r="K17" i="15"/>
  <c r="J17" i="15"/>
  <c r="I17" i="15"/>
  <c r="H17" i="15"/>
  <c r="G17" i="15"/>
  <c r="F17" i="15"/>
  <c r="E17" i="15"/>
  <c r="D17" i="15"/>
  <c r="M16" i="15"/>
  <c r="L16" i="15"/>
  <c r="K16" i="15"/>
  <c r="J16" i="15"/>
  <c r="I16" i="15"/>
  <c r="H16" i="15"/>
  <c r="G16" i="15"/>
  <c r="F16" i="15"/>
  <c r="E16" i="15"/>
  <c r="D16" i="15"/>
  <c r="F13" i="15"/>
  <c r="E13" i="15"/>
  <c r="D13" i="15"/>
  <c r="M6" i="15"/>
  <c r="C3" i="15"/>
  <c r="Q67" i="18" l="1"/>
  <c r="P67" i="18"/>
  <c r="Q30" i="18"/>
  <c r="P30" i="18"/>
  <c r="Q60" i="18"/>
  <c r="P60" i="18"/>
  <c r="Q65" i="18"/>
  <c r="P65" i="18"/>
  <c r="Q28" i="18"/>
  <c r="P28" i="18"/>
  <c r="Q59" i="18"/>
  <c r="P59" i="18"/>
  <c r="AF68" i="18"/>
  <c r="AG62" i="18" s="1"/>
  <c r="AE68" i="18"/>
  <c r="N68" i="18"/>
  <c r="Q45" i="18"/>
  <c r="P45" i="18"/>
  <c r="Q49" i="18"/>
  <c r="P49" i="18"/>
  <c r="Q8" i="18"/>
  <c r="P8" i="18"/>
  <c r="N61" i="18"/>
  <c r="AE61" i="18"/>
  <c r="AF61" i="18"/>
  <c r="AG55" i="18" s="1"/>
  <c r="Q21" i="18"/>
  <c r="P21" i="18"/>
  <c r="Q63" i="18"/>
  <c r="P63" i="18"/>
  <c r="Q6" i="18"/>
  <c r="P6" i="18"/>
  <c r="Q53" i="18"/>
  <c r="P53" i="18"/>
  <c r="Q36" i="18"/>
  <c r="P36" i="18"/>
  <c r="Q5" i="18"/>
  <c r="P5" i="18"/>
  <c r="Q35" i="18"/>
  <c r="P35" i="18"/>
  <c r="P17" i="18"/>
  <c r="Q17" i="18"/>
  <c r="Q55" i="18"/>
  <c r="P55" i="18"/>
  <c r="Q34" i="18"/>
  <c r="P34" i="18"/>
  <c r="Q16" i="18"/>
  <c r="P16" i="18"/>
  <c r="Q23" i="18"/>
  <c r="P23" i="18"/>
  <c r="P57" i="18"/>
  <c r="Q57" i="18"/>
  <c r="Q32" i="18"/>
  <c r="P32" i="18"/>
  <c r="Q56" i="18"/>
  <c r="P56" i="18"/>
  <c r="Q39" i="18"/>
  <c r="P39" i="18"/>
  <c r="Q14" i="18"/>
  <c r="P14" i="18"/>
  <c r="E14" i="17"/>
  <c r="E15" i="17" s="1"/>
  <c r="Q13" i="18"/>
  <c r="R10" i="18" s="1"/>
  <c r="P13" i="18"/>
  <c r="N41" i="18"/>
  <c r="AF41" i="18"/>
  <c r="AG34" i="18" s="1"/>
  <c r="AE41" i="18"/>
  <c r="Q11" i="18"/>
  <c r="P11" i="18"/>
  <c r="P44" i="18"/>
  <c r="Q44" i="18"/>
  <c r="AF25" i="18"/>
  <c r="AG19" i="18" s="1"/>
  <c r="AE25" i="18"/>
  <c r="N25" i="18"/>
  <c r="Q47" i="18"/>
  <c r="P47" i="18"/>
  <c r="Q10" i="18"/>
  <c r="P10" i="18"/>
  <c r="P43" i="18"/>
  <c r="Q43" i="18"/>
  <c r="P40" i="18"/>
  <c r="Q40" i="18"/>
  <c r="Q9" i="18"/>
  <c r="R5" i="18" s="1"/>
  <c r="D14" i="17"/>
  <c r="P9" i="18"/>
  <c r="Q20" i="18"/>
  <c r="P20" i="18"/>
  <c r="Q37" i="18"/>
  <c r="P37" i="18"/>
  <c r="N18" i="18"/>
  <c r="AF18" i="18"/>
  <c r="AG14" i="18" s="1"/>
  <c r="AE18" i="18"/>
  <c r="P58" i="18"/>
  <c r="Q58" i="18"/>
  <c r="N33" i="18"/>
  <c r="AF33" i="18"/>
  <c r="AG26" i="18" s="1"/>
  <c r="AE33" i="18"/>
  <c r="N46" i="18"/>
  <c r="AF46" i="18"/>
  <c r="AG42" i="18" s="1"/>
  <c r="AE46" i="18"/>
  <c r="Q15" i="18"/>
  <c r="P15" i="18"/>
  <c r="Q19" i="18"/>
  <c r="P19" i="18"/>
  <c r="Q51" i="18"/>
  <c r="P51" i="18"/>
  <c r="Q42" i="18"/>
  <c r="P42" i="18"/>
  <c r="P38" i="18"/>
  <c r="Q38" i="18"/>
  <c r="I14" i="17"/>
  <c r="I15" i="17" s="1"/>
  <c r="Q54" i="18"/>
  <c r="R47" i="18" s="1"/>
  <c r="P54" i="18"/>
  <c r="I6" i="15"/>
  <c r="N40" i="16"/>
  <c r="AF40" i="16"/>
  <c r="AE40" i="16"/>
  <c r="M44" i="16"/>
  <c r="N54" i="16"/>
  <c r="AF54" i="16"/>
  <c r="AE54" i="16"/>
  <c r="N47" i="16"/>
  <c r="AF47" i="16"/>
  <c r="AE47" i="16"/>
  <c r="M31" i="16"/>
  <c r="AF66" i="16"/>
  <c r="AG60" i="16" s="1"/>
  <c r="AE66" i="16"/>
  <c r="N66" i="16"/>
  <c r="N56" i="16"/>
  <c r="AF56" i="16"/>
  <c r="AE56" i="16"/>
  <c r="N49" i="16"/>
  <c r="AF49" i="16"/>
  <c r="AE49" i="16"/>
  <c r="N35" i="16"/>
  <c r="AF35" i="16"/>
  <c r="AE35" i="16"/>
  <c r="P45" i="16"/>
  <c r="Q45" i="16"/>
  <c r="N58" i="16"/>
  <c r="AF58" i="16"/>
  <c r="AE58" i="16"/>
  <c r="N28" i="16"/>
  <c r="AF28" i="16"/>
  <c r="AE28" i="16"/>
  <c r="N63" i="16"/>
  <c r="AF63" i="16"/>
  <c r="AE63" i="16"/>
  <c r="N26" i="16"/>
  <c r="AF26" i="16"/>
  <c r="AE26" i="16"/>
  <c r="N19" i="16"/>
  <c r="AF19" i="16"/>
  <c r="AE19" i="16"/>
  <c r="G6" i="15"/>
  <c r="N23" i="16"/>
  <c r="AF23" i="16"/>
  <c r="AE23" i="16"/>
  <c r="N33" i="16"/>
  <c r="AF33" i="16"/>
  <c r="M39" i="16"/>
  <c r="AE33" i="16"/>
  <c r="N5" i="16"/>
  <c r="AF5" i="16"/>
  <c r="AE5" i="16"/>
  <c r="M9" i="16"/>
  <c r="N61" i="16"/>
  <c r="AF61" i="16"/>
  <c r="AE61" i="16"/>
  <c r="N21" i="16"/>
  <c r="AF21" i="16"/>
  <c r="AE21" i="16"/>
  <c r="P38" i="16"/>
  <c r="Q38" i="16"/>
  <c r="F2" i="16"/>
  <c r="I3" i="15"/>
  <c r="N14" i="16"/>
  <c r="AF14" i="16"/>
  <c r="AE14" i="16"/>
  <c r="AF7" i="16"/>
  <c r="AE7" i="16"/>
  <c r="N7" i="16"/>
  <c r="N16" i="16"/>
  <c r="N25" i="16"/>
  <c r="N30" i="16"/>
  <c r="N42" i="16"/>
  <c r="N51" i="16"/>
  <c r="N60" i="16"/>
  <c r="N65" i="16"/>
  <c r="N11" i="16"/>
  <c r="P18" i="16"/>
  <c r="P32" i="16"/>
  <c r="P37" i="16"/>
  <c r="P53" i="16"/>
  <c r="N20" i="16"/>
  <c r="N27" i="16"/>
  <c r="N46" i="16"/>
  <c r="N55" i="16"/>
  <c r="N62" i="16"/>
  <c r="N13" i="16"/>
  <c r="AE16" i="16"/>
  <c r="AE30" i="16"/>
  <c r="AE42" i="16"/>
  <c r="AE51" i="16"/>
  <c r="AE65" i="16"/>
  <c r="N22" i="16"/>
  <c r="M24" i="16"/>
  <c r="N34" i="16"/>
  <c r="N48" i="16"/>
  <c r="N57" i="16"/>
  <c r="M59" i="16"/>
  <c r="N64" i="16"/>
  <c r="E6" i="15"/>
  <c r="AE37" i="16"/>
  <c r="M12" i="16"/>
  <c r="AF13" i="16"/>
  <c r="AE22" i="16"/>
  <c r="AE34" i="16"/>
  <c r="AE48" i="16"/>
  <c r="AE57" i="16"/>
  <c r="N6" i="16"/>
  <c r="AE18" i="16"/>
  <c r="AE25" i="16"/>
  <c r="AE53" i="16"/>
  <c r="AE60" i="16"/>
  <c r="F6" i="15"/>
  <c r="N15" i="16"/>
  <c r="M17" i="16"/>
  <c r="AF25" i="16"/>
  <c r="N29" i="16"/>
  <c r="N36" i="16"/>
  <c r="N41" i="16"/>
  <c r="N50" i="16"/>
  <c r="M52" i="16"/>
  <c r="AF60" i="16"/>
  <c r="AE15" i="16"/>
  <c r="AE64" i="16"/>
  <c r="AE8" i="16"/>
  <c r="AF29" i="16"/>
  <c r="AF41" i="16"/>
  <c r="AF50" i="16"/>
  <c r="Y2" i="16"/>
  <c r="K6" i="15" s="1"/>
  <c r="N8" i="16"/>
  <c r="AE11" i="16"/>
  <c r="AE32" i="16"/>
  <c r="AE27" i="16"/>
  <c r="N43" i="16"/>
  <c r="AE46" i="16"/>
  <c r="AE55" i="16"/>
  <c r="AE62" i="16"/>
  <c r="AF6" i="16"/>
  <c r="AE36" i="16"/>
  <c r="AE43" i="16"/>
  <c r="AE20" i="16"/>
  <c r="N10" i="16"/>
  <c r="AD69" i="14"/>
  <c r="AC69" i="14"/>
  <c r="Z69" i="14"/>
  <c r="Y69" i="14"/>
  <c r="O69" i="14"/>
  <c r="K69" i="14"/>
  <c r="M13" i="13" s="1"/>
  <c r="V68" i="14"/>
  <c r="U68" i="14"/>
  <c r="O68" i="14"/>
  <c r="M68" i="14"/>
  <c r="AF68" i="14" s="1"/>
  <c r="K68" i="14"/>
  <c r="G68" i="14"/>
  <c r="AF67" i="14"/>
  <c r="V67" i="14"/>
  <c r="U67" i="14"/>
  <c r="O67" i="14"/>
  <c r="N67" i="14"/>
  <c r="Q67" i="14" s="1"/>
  <c r="M67" i="14"/>
  <c r="AE67" i="14" s="1"/>
  <c r="K67" i="14"/>
  <c r="G67" i="14"/>
  <c r="AF66" i="14"/>
  <c r="AE66" i="14"/>
  <c r="V66" i="14"/>
  <c r="U66" i="14"/>
  <c r="O66" i="14"/>
  <c r="M66" i="14"/>
  <c r="N66" i="14" s="1"/>
  <c r="K66" i="14"/>
  <c r="G66" i="14"/>
  <c r="AF65" i="14"/>
  <c r="AE65" i="14"/>
  <c r="X65" i="14"/>
  <c r="W65" i="14"/>
  <c r="V65" i="14"/>
  <c r="U65" i="14"/>
  <c r="O65" i="14"/>
  <c r="N65" i="14"/>
  <c r="Q65" i="14" s="1"/>
  <c r="M65" i="14"/>
  <c r="K65" i="14"/>
  <c r="G65" i="14"/>
  <c r="AF64" i="14"/>
  <c r="AE64" i="14"/>
  <c r="V64" i="14"/>
  <c r="U64" i="14"/>
  <c r="O64" i="14"/>
  <c r="M64" i="14"/>
  <c r="N64" i="14" s="1"/>
  <c r="K64" i="14"/>
  <c r="G64" i="14"/>
  <c r="V63" i="14"/>
  <c r="M63" i="14" s="1"/>
  <c r="U63" i="14"/>
  <c r="O63" i="14"/>
  <c r="K63" i="14"/>
  <c r="G63" i="14"/>
  <c r="V62" i="14"/>
  <c r="M62" i="14" s="1"/>
  <c r="U62" i="14"/>
  <c r="O62" i="14"/>
  <c r="K62" i="14"/>
  <c r="G62" i="14"/>
  <c r="AF61" i="14"/>
  <c r="X61" i="14"/>
  <c r="W61" i="14"/>
  <c r="V61" i="14"/>
  <c r="O61" i="14"/>
  <c r="M61" i="14"/>
  <c r="N61" i="14" s="1"/>
  <c r="K61" i="14"/>
  <c r="G61" i="14"/>
  <c r="AD60" i="14"/>
  <c r="J21" i="13" s="1"/>
  <c r="AC60" i="14"/>
  <c r="Z60" i="14"/>
  <c r="Y60" i="14"/>
  <c r="O60" i="14"/>
  <c r="K60" i="14"/>
  <c r="V59" i="14"/>
  <c r="M59" i="14" s="1"/>
  <c r="U59" i="14"/>
  <c r="O59" i="14"/>
  <c r="K59" i="14"/>
  <c r="G59" i="14"/>
  <c r="V58" i="14"/>
  <c r="M58" i="14" s="1"/>
  <c r="U58" i="14"/>
  <c r="O58" i="14"/>
  <c r="K58" i="14"/>
  <c r="G58" i="14"/>
  <c r="V57" i="14"/>
  <c r="M57" i="14" s="1"/>
  <c r="U57" i="14"/>
  <c r="O57" i="14"/>
  <c r="K57" i="14"/>
  <c r="G57" i="14"/>
  <c r="V56" i="14"/>
  <c r="M56" i="14" s="1"/>
  <c r="U56" i="14"/>
  <c r="O56" i="14"/>
  <c r="K56" i="14"/>
  <c r="G56" i="14"/>
  <c r="V55" i="14"/>
  <c r="M55" i="14" s="1"/>
  <c r="U55" i="14"/>
  <c r="O55" i="14"/>
  <c r="K55" i="14"/>
  <c r="G55" i="14"/>
  <c r="V54" i="14"/>
  <c r="M54" i="14" s="1"/>
  <c r="O54" i="14"/>
  <c r="K54" i="14"/>
  <c r="G54" i="14"/>
  <c r="AD53" i="14"/>
  <c r="AC53" i="14"/>
  <c r="Z53" i="14"/>
  <c r="Y53" i="14"/>
  <c r="O53" i="14"/>
  <c r="K53" i="14"/>
  <c r="V52" i="14"/>
  <c r="M52" i="14" s="1"/>
  <c r="U52" i="14"/>
  <c r="O52" i="14"/>
  <c r="K52" i="14"/>
  <c r="G52" i="14"/>
  <c r="V51" i="14"/>
  <c r="U51" i="14"/>
  <c r="O51" i="14"/>
  <c r="M51" i="14"/>
  <c r="AF51" i="14" s="1"/>
  <c r="K51" i="14"/>
  <c r="G51" i="14"/>
  <c r="V50" i="14"/>
  <c r="U50" i="14"/>
  <c r="O50" i="14"/>
  <c r="M50" i="14"/>
  <c r="AF50" i="14" s="1"/>
  <c r="K50" i="14"/>
  <c r="G50" i="14"/>
  <c r="V49" i="14"/>
  <c r="U49" i="14"/>
  <c r="O49" i="14"/>
  <c r="M49" i="14"/>
  <c r="AF49" i="14" s="1"/>
  <c r="K49" i="14"/>
  <c r="G49" i="14"/>
  <c r="V48" i="14"/>
  <c r="U48" i="14"/>
  <c r="P48" i="14"/>
  <c r="O48" i="14"/>
  <c r="N48" i="14"/>
  <c r="Q48" i="14" s="1"/>
  <c r="M48" i="14"/>
  <c r="AF48" i="14" s="1"/>
  <c r="K48" i="14"/>
  <c r="G48" i="14"/>
  <c r="AF47" i="14"/>
  <c r="V47" i="14"/>
  <c r="U47" i="14"/>
  <c r="O47" i="14"/>
  <c r="M47" i="14"/>
  <c r="AE47" i="14" s="1"/>
  <c r="K47" i="14"/>
  <c r="G47" i="14"/>
  <c r="AF46" i="14"/>
  <c r="V46" i="14"/>
  <c r="O46" i="14"/>
  <c r="M46" i="14"/>
  <c r="AE46" i="14" s="1"/>
  <c r="K46" i="14"/>
  <c r="G46" i="14"/>
  <c r="AD45" i="14"/>
  <c r="AC45" i="14"/>
  <c r="Z45" i="14"/>
  <c r="Y45" i="14"/>
  <c r="O45" i="14"/>
  <c r="K45" i="14"/>
  <c r="AF44" i="14"/>
  <c r="AE44" i="14"/>
  <c r="V44" i="14"/>
  <c r="U44" i="14"/>
  <c r="O44" i="14"/>
  <c r="N44" i="14"/>
  <c r="Q44" i="14" s="1"/>
  <c r="M44" i="14"/>
  <c r="K44" i="14"/>
  <c r="G44" i="14"/>
  <c r="V43" i="14"/>
  <c r="M43" i="14" s="1"/>
  <c r="U43" i="14"/>
  <c r="O43" i="14"/>
  <c r="K43" i="14"/>
  <c r="G43" i="14"/>
  <c r="V42" i="14"/>
  <c r="M42" i="14" s="1"/>
  <c r="U42" i="14"/>
  <c r="O42" i="14"/>
  <c r="K42" i="14"/>
  <c r="G42" i="14"/>
  <c r="X41" i="14"/>
  <c r="W41" i="14"/>
  <c r="V41" i="14"/>
  <c r="O41" i="14"/>
  <c r="N41" i="14"/>
  <c r="Q41" i="14" s="1"/>
  <c r="M41" i="14"/>
  <c r="K41" i="14"/>
  <c r="G41" i="14"/>
  <c r="AD40" i="14"/>
  <c r="L21" i="13" s="1"/>
  <c r="AC40" i="14"/>
  <c r="Z40" i="14"/>
  <c r="Y40" i="14"/>
  <c r="O40" i="14"/>
  <c r="K40" i="14"/>
  <c r="V39" i="14"/>
  <c r="M39" i="14" s="1"/>
  <c r="U39" i="14"/>
  <c r="O39" i="14"/>
  <c r="K39" i="14"/>
  <c r="G39" i="14"/>
  <c r="V38" i="14"/>
  <c r="M38" i="14" s="1"/>
  <c r="U38" i="14"/>
  <c r="O38" i="14"/>
  <c r="K38" i="14"/>
  <c r="G38" i="14"/>
  <c r="X37" i="14"/>
  <c r="W37" i="14"/>
  <c r="V37" i="14"/>
  <c r="M37" i="14" s="1"/>
  <c r="U37" i="14"/>
  <c r="O37" i="14"/>
  <c r="K37" i="14"/>
  <c r="G37" i="14"/>
  <c r="V36" i="14"/>
  <c r="M36" i="14" s="1"/>
  <c r="U36" i="14"/>
  <c r="O36" i="14"/>
  <c r="K36" i="14"/>
  <c r="G36" i="14"/>
  <c r="V35" i="14"/>
  <c r="M35" i="14" s="1"/>
  <c r="U35" i="14"/>
  <c r="O35" i="14"/>
  <c r="K35" i="14"/>
  <c r="G35" i="14"/>
  <c r="V34" i="14"/>
  <c r="M34" i="14" s="1"/>
  <c r="U34" i="14"/>
  <c r="O34" i="14"/>
  <c r="K34" i="14"/>
  <c r="G34" i="14"/>
  <c r="X33" i="14"/>
  <c r="W33" i="14"/>
  <c r="V33" i="14"/>
  <c r="M33" i="14" s="1"/>
  <c r="O33" i="14"/>
  <c r="K33" i="14"/>
  <c r="G33" i="14"/>
  <c r="AD32" i="14"/>
  <c r="AC32" i="14"/>
  <c r="K20" i="13" s="1"/>
  <c r="Z32" i="14"/>
  <c r="Y32" i="14"/>
  <c r="O32" i="14"/>
  <c r="K32" i="14"/>
  <c r="V31" i="14"/>
  <c r="M31" i="14" s="1"/>
  <c r="U31" i="14"/>
  <c r="O31" i="14"/>
  <c r="K31" i="14"/>
  <c r="G31" i="14"/>
  <c r="V30" i="14"/>
  <c r="M30" i="14" s="1"/>
  <c r="U30" i="14"/>
  <c r="O30" i="14"/>
  <c r="K30" i="14"/>
  <c r="G30" i="14"/>
  <c r="V29" i="14"/>
  <c r="M29" i="14" s="1"/>
  <c r="U29" i="14"/>
  <c r="O29" i="14"/>
  <c r="K29" i="14"/>
  <c r="G29" i="14"/>
  <c r="X28" i="14"/>
  <c r="W28" i="14"/>
  <c r="V28" i="14"/>
  <c r="M28" i="14" s="1"/>
  <c r="U28" i="14"/>
  <c r="O28" i="14"/>
  <c r="K28" i="14"/>
  <c r="G28" i="14"/>
  <c r="V27" i="14"/>
  <c r="M27" i="14" s="1"/>
  <c r="U27" i="14"/>
  <c r="O27" i="14"/>
  <c r="K27" i="14"/>
  <c r="G27" i="14"/>
  <c r="V26" i="14"/>
  <c r="U26" i="14"/>
  <c r="O26" i="14"/>
  <c r="N26" i="14"/>
  <c r="Q26" i="14" s="1"/>
  <c r="M26" i="14"/>
  <c r="AF26" i="14" s="1"/>
  <c r="K26" i="14"/>
  <c r="G26" i="14"/>
  <c r="X25" i="14"/>
  <c r="W25" i="14"/>
  <c r="V25" i="14"/>
  <c r="M25" i="14" s="1"/>
  <c r="O25" i="14"/>
  <c r="K25" i="14"/>
  <c r="G25" i="14"/>
  <c r="AD24" i="14"/>
  <c r="AC24" i="14"/>
  <c r="Z24" i="14"/>
  <c r="Y24" i="14"/>
  <c r="G18" i="13" s="1"/>
  <c r="O24" i="14"/>
  <c r="K24" i="14"/>
  <c r="V23" i="14"/>
  <c r="M23" i="14" s="1"/>
  <c r="U23" i="14"/>
  <c r="O23" i="14"/>
  <c r="K23" i="14"/>
  <c r="G23" i="14"/>
  <c r="V22" i="14"/>
  <c r="U22" i="14"/>
  <c r="O22" i="14"/>
  <c r="N22" i="14"/>
  <c r="Q22" i="14" s="1"/>
  <c r="M22" i="14"/>
  <c r="AF22" i="14" s="1"/>
  <c r="K22" i="14"/>
  <c r="G22" i="14"/>
  <c r="V21" i="14"/>
  <c r="U21" i="14"/>
  <c r="O21" i="14"/>
  <c r="M21" i="14"/>
  <c r="AF21" i="14" s="1"/>
  <c r="K21" i="14"/>
  <c r="G21" i="14"/>
  <c r="V20" i="14"/>
  <c r="U20" i="14"/>
  <c r="O20" i="14"/>
  <c r="M20" i="14"/>
  <c r="AF20" i="14" s="1"/>
  <c r="K20" i="14"/>
  <c r="G20" i="14"/>
  <c r="V19" i="14"/>
  <c r="U19" i="14"/>
  <c r="O19" i="14"/>
  <c r="N19" i="14"/>
  <c r="P19" i="14" s="1"/>
  <c r="M19" i="14"/>
  <c r="AF19" i="14" s="1"/>
  <c r="K19" i="14"/>
  <c r="Q19" i="14" s="1"/>
  <c r="G19" i="14"/>
  <c r="V18" i="14"/>
  <c r="M18" i="14" s="1"/>
  <c r="O18" i="14"/>
  <c r="K18" i="14"/>
  <c r="G18" i="14"/>
  <c r="AD17" i="14"/>
  <c r="AC17" i="14"/>
  <c r="Z17" i="14"/>
  <c r="Y17" i="14"/>
  <c r="O17" i="14"/>
  <c r="K17" i="14"/>
  <c r="F13" i="13" s="1"/>
  <c r="AF16" i="14"/>
  <c r="V16" i="14"/>
  <c r="U16" i="14"/>
  <c r="O16" i="14"/>
  <c r="N16" i="14"/>
  <c r="Q16" i="14" s="1"/>
  <c r="M16" i="14"/>
  <c r="AE16" i="14" s="1"/>
  <c r="K16" i="14"/>
  <c r="G16" i="14"/>
  <c r="AF15" i="14"/>
  <c r="AE15" i="14"/>
  <c r="V15" i="14"/>
  <c r="U15" i="14"/>
  <c r="O15" i="14"/>
  <c r="M15" i="14"/>
  <c r="N15" i="14" s="1"/>
  <c r="K15" i="14"/>
  <c r="G15" i="14"/>
  <c r="V14" i="14"/>
  <c r="M14" i="14" s="1"/>
  <c r="U14" i="14"/>
  <c r="O14" i="14"/>
  <c r="K14" i="14"/>
  <c r="G14" i="14"/>
  <c r="V13" i="14"/>
  <c r="M13" i="14" s="1"/>
  <c r="O13" i="14"/>
  <c r="K13" i="14"/>
  <c r="G13" i="14"/>
  <c r="AD12" i="14"/>
  <c r="E21" i="13" s="1"/>
  <c r="AC12" i="14"/>
  <c r="Z12" i="14"/>
  <c r="Y12" i="14"/>
  <c r="O12" i="14"/>
  <c r="K12" i="14"/>
  <c r="V11" i="14"/>
  <c r="M11" i="14" s="1"/>
  <c r="U11" i="14"/>
  <c r="O11" i="14"/>
  <c r="K11" i="14"/>
  <c r="G11" i="14"/>
  <c r="V10" i="14"/>
  <c r="M10" i="14" s="1"/>
  <c r="O10" i="14"/>
  <c r="K10" i="14"/>
  <c r="G10" i="14"/>
  <c r="F1" i="14" s="1"/>
  <c r="AD9" i="14"/>
  <c r="AD2" i="14" s="1"/>
  <c r="N6" i="13" s="1"/>
  <c r="AC9" i="14"/>
  <c r="AC2" i="14" s="1"/>
  <c r="M6" i="13" s="1"/>
  <c r="Z9" i="14"/>
  <c r="Z2" i="14" s="1"/>
  <c r="L6" i="13" s="1"/>
  <c r="Y9" i="14"/>
  <c r="Y2" i="14" s="1"/>
  <c r="K6" i="13" s="1"/>
  <c r="O9" i="14"/>
  <c r="K9" i="14"/>
  <c r="V8" i="14"/>
  <c r="M8" i="14" s="1"/>
  <c r="U8" i="14"/>
  <c r="O8" i="14"/>
  <c r="K8" i="14"/>
  <c r="G8" i="14"/>
  <c r="AF7" i="14"/>
  <c r="AE7" i="14"/>
  <c r="V7" i="14"/>
  <c r="U7" i="14"/>
  <c r="O7" i="14"/>
  <c r="M7" i="14"/>
  <c r="N7" i="14" s="1"/>
  <c r="K7" i="14"/>
  <c r="G7" i="14"/>
  <c r="V6" i="14"/>
  <c r="M6" i="14" s="1"/>
  <c r="U6" i="14"/>
  <c r="O6" i="14"/>
  <c r="K6" i="14"/>
  <c r="G6" i="14"/>
  <c r="V5" i="14"/>
  <c r="M5" i="14" s="1"/>
  <c r="O5" i="14"/>
  <c r="K5" i="14"/>
  <c r="G5" i="14"/>
  <c r="H2" i="14"/>
  <c r="H1" i="14"/>
  <c r="D1" i="14"/>
  <c r="M22" i="13"/>
  <c r="L22" i="13"/>
  <c r="K22" i="13"/>
  <c r="J22" i="13"/>
  <c r="I22" i="13"/>
  <c r="H22" i="13"/>
  <c r="G22" i="13"/>
  <c r="F22" i="13"/>
  <c r="E22" i="13"/>
  <c r="D22" i="13"/>
  <c r="M21" i="13"/>
  <c r="K21" i="13"/>
  <c r="I21" i="13"/>
  <c r="H21" i="13"/>
  <c r="G21" i="13"/>
  <c r="F21" i="13"/>
  <c r="D21" i="13"/>
  <c r="M20" i="13"/>
  <c r="L20" i="13"/>
  <c r="J20" i="13"/>
  <c r="I20" i="13"/>
  <c r="H20" i="13"/>
  <c r="G20" i="13"/>
  <c r="F20" i="13"/>
  <c r="E20" i="13"/>
  <c r="M19" i="13"/>
  <c r="L19" i="13"/>
  <c r="K19" i="13"/>
  <c r="J19" i="13"/>
  <c r="I19" i="13"/>
  <c r="H19" i="13"/>
  <c r="G19" i="13"/>
  <c r="F19" i="13"/>
  <c r="E19" i="13"/>
  <c r="D19" i="13"/>
  <c r="M18" i="13"/>
  <c r="L18" i="13"/>
  <c r="K18" i="13"/>
  <c r="J18" i="13"/>
  <c r="I18" i="13"/>
  <c r="H18" i="13"/>
  <c r="F18" i="13"/>
  <c r="E18" i="13"/>
  <c r="D18" i="13"/>
  <c r="M17" i="13"/>
  <c r="L17" i="13"/>
  <c r="K17" i="13"/>
  <c r="J17" i="13"/>
  <c r="I17" i="13"/>
  <c r="H17" i="13"/>
  <c r="G17" i="13"/>
  <c r="F17" i="13"/>
  <c r="E17" i="13"/>
  <c r="D17" i="13"/>
  <c r="M16" i="13"/>
  <c r="L16" i="13"/>
  <c r="K16" i="13"/>
  <c r="J16" i="13"/>
  <c r="I16" i="13"/>
  <c r="H16" i="13"/>
  <c r="G16" i="13"/>
  <c r="F16" i="13"/>
  <c r="E16" i="13"/>
  <c r="D16" i="13"/>
  <c r="L13" i="13"/>
  <c r="K13" i="13"/>
  <c r="J13" i="13"/>
  <c r="I13" i="13"/>
  <c r="H13" i="13"/>
  <c r="G13" i="13"/>
  <c r="E13" i="13"/>
  <c r="D13" i="13"/>
  <c r="F3" i="13"/>
  <c r="C3" i="13"/>
  <c r="Q46" i="18" l="1"/>
  <c r="R42" i="18" s="1"/>
  <c r="P46" i="18"/>
  <c r="H14" i="17"/>
  <c r="H15" i="17" s="1"/>
  <c r="D15" i="17"/>
  <c r="Q61" i="18"/>
  <c r="R55" i="18" s="1"/>
  <c r="P61" i="18"/>
  <c r="J14" i="17"/>
  <c r="J15" i="17" s="1"/>
  <c r="K14" i="17"/>
  <c r="Q33" i="18"/>
  <c r="R26" i="18" s="1"/>
  <c r="P33" i="18"/>
  <c r="D2" i="18"/>
  <c r="Q18" i="18"/>
  <c r="R14" i="18" s="1"/>
  <c r="P18" i="18"/>
  <c r="F14" i="17"/>
  <c r="F15" i="17" s="1"/>
  <c r="Q68" i="18"/>
  <c r="R62" i="18" s="1"/>
  <c r="P68" i="18"/>
  <c r="M14" i="17"/>
  <c r="M15" i="17" s="1"/>
  <c r="Q25" i="18"/>
  <c r="R19" i="18" s="1"/>
  <c r="P25" i="18"/>
  <c r="G14" i="17"/>
  <c r="G15" i="17" s="1"/>
  <c r="Q41" i="18"/>
  <c r="R34" i="18" s="1"/>
  <c r="P41" i="18"/>
  <c r="L14" i="17"/>
  <c r="L15" i="17" s="1"/>
  <c r="Q50" i="16"/>
  <c r="P50" i="16"/>
  <c r="Q11" i="16"/>
  <c r="P11" i="16"/>
  <c r="Q26" i="16"/>
  <c r="P26" i="16"/>
  <c r="P66" i="16"/>
  <c r="Q66" i="16"/>
  <c r="R60" i="16" s="1"/>
  <c r="M14" i="15"/>
  <c r="M15" i="15" s="1"/>
  <c r="Q51" i="16"/>
  <c r="P51" i="16"/>
  <c r="Q6" i="16"/>
  <c r="P6" i="16"/>
  <c r="Q58" i="16"/>
  <c r="P58" i="16"/>
  <c r="Q62" i="16"/>
  <c r="P62" i="16"/>
  <c r="P33" i="16"/>
  <c r="Q33" i="16"/>
  <c r="Q54" i="16"/>
  <c r="P54" i="16"/>
  <c r="Q49" i="16"/>
  <c r="P49" i="16"/>
  <c r="Q36" i="16"/>
  <c r="P36" i="16"/>
  <c r="Q29" i="16"/>
  <c r="P29" i="16"/>
  <c r="P21" i="16"/>
  <c r="Q21" i="16"/>
  <c r="AF17" i="16"/>
  <c r="AG13" i="16" s="1"/>
  <c r="AE17" i="16"/>
  <c r="N17" i="16"/>
  <c r="Q60" i="16"/>
  <c r="P60" i="16"/>
  <c r="Q43" i="16"/>
  <c r="P43" i="16"/>
  <c r="AF9" i="16"/>
  <c r="AG5" i="16" s="1"/>
  <c r="AE9" i="16"/>
  <c r="N9" i="16"/>
  <c r="P28" i="16"/>
  <c r="Q28" i="16"/>
  <c r="Q13" i="16"/>
  <c r="P13" i="16"/>
  <c r="Q55" i="16"/>
  <c r="P55" i="16"/>
  <c r="AF44" i="16"/>
  <c r="AG40" i="16" s="1"/>
  <c r="AE44" i="16"/>
  <c r="N44" i="16"/>
  <c r="Q41" i="16"/>
  <c r="P41" i="16"/>
  <c r="Q64" i="16"/>
  <c r="P64" i="16"/>
  <c r="AE59" i="16"/>
  <c r="AF59" i="16"/>
  <c r="AG53" i="16" s="1"/>
  <c r="N59" i="16"/>
  <c r="Q48" i="16"/>
  <c r="P48" i="16"/>
  <c r="Q34" i="16"/>
  <c r="P34" i="16"/>
  <c r="P63" i="16"/>
  <c r="Q63" i="16"/>
  <c r="Q25" i="16"/>
  <c r="P25" i="16"/>
  <c r="P8" i="16"/>
  <c r="Q8" i="16"/>
  <c r="Q16" i="16"/>
  <c r="P16" i="16"/>
  <c r="AF39" i="16"/>
  <c r="AG32" i="16" s="1"/>
  <c r="AE39" i="16"/>
  <c r="N39" i="16"/>
  <c r="Q46" i="16"/>
  <c r="P46" i="16"/>
  <c r="Q14" i="16"/>
  <c r="P14" i="16"/>
  <c r="Q27" i="16"/>
  <c r="P27" i="16"/>
  <c r="Q23" i="16"/>
  <c r="P23" i="16"/>
  <c r="Q65" i="16"/>
  <c r="P65" i="16"/>
  <c r="Q15" i="16"/>
  <c r="P15" i="16"/>
  <c r="Q61" i="16"/>
  <c r="P61" i="16"/>
  <c r="Q22" i="16"/>
  <c r="P22" i="16"/>
  <c r="AF31" i="16"/>
  <c r="AG25" i="16" s="1"/>
  <c r="AE31" i="16"/>
  <c r="N31" i="16"/>
  <c r="Q7" i="16"/>
  <c r="P7" i="16"/>
  <c r="Q10" i="16"/>
  <c r="P10" i="16"/>
  <c r="N12" i="16"/>
  <c r="AF12" i="16"/>
  <c r="AG10" i="16" s="1"/>
  <c r="AE12" i="16"/>
  <c r="Q20" i="16"/>
  <c r="P20" i="16"/>
  <c r="Q35" i="16"/>
  <c r="P35" i="16"/>
  <c r="Q40" i="16"/>
  <c r="P40" i="16"/>
  <c r="Q19" i="16"/>
  <c r="P19" i="16"/>
  <c r="Q57" i="16"/>
  <c r="P57" i="16"/>
  <c r="P56" i="16"/>
  <c r="Q56" i="16"/>
  <c r="AE24" i="16"/>
  <c r="AF24" i="16"/>
  <c r="AG18" i="16" s="1"/>
  <c r="N24" i="16"/>
  <c r="Q42" i="16"/>
  <c r="P42" i="16"/>
  <c r="Q30" i="16"/>
  <c r="P30" i="16"/>
  <c r="P5" i="16"/>
  <c r="Q5" i="16"/>
  <c r="P47" i="16"/>
  <c r="Q47" i="16"/>
  <c r="AF52" i="16"/>
  <c r="AG45" i="16" s="1"/>
  <c r="AE52" i="16"/>
  <c r="N52" i="16"/>
  <c r="I3" i="13"/>
  <c r="F2" i="14"/>
  <c r="N59" i="14"/>
  <c r="AF59" i="14"/>
  <c r="AE59" i="14"/>
  <c r="N63" i="14"/>
  <c r="AF63" i="14"/>
  <c r="AE63" i="14"/>
  <c r="AF18" i="14"/>
  <c r="AE18" i="14"/>
  <c r="M24" i="14"/>
  <c r="N18" i="14"/>
  <c r="N28" i="14"/>
  <c r="AF28" i="14"/>
  <c r="AE28" i="14"/>
  <c r="N30" i="14"/>
  <c r="AF30" i="14"/>
  <c r="AE30" i="14"/>
  <c r="AF52" i="14"/>
  <c r="N52" i="14"/>
  <c r="AE52" i="14"/>
  <c r="Q15" i="14"/>
  <c r="P15" i="14"/>
  <c r="N37" i="14"/>
  <c r="AF37" i="14"/>
  <c r="AE37" i="14"/>
  <c r="N39" i="14"/>
  <c r="AF39" i="14"/>
  <c r="AE39" i="14"/>
  <c r="N43" i="14"/>
  <c r="AF43" i="14"/>
  <c r="AE43" i="14"/>
  <c r="N57" i="14"/>
  <c r="AF57" i="14"/>
  <c r="AE57" i="14"/>
  <c r="F6" i="13"/>
  <c r="G6" i="13"/>
  <c r="E6" i="13"/>
  <c r="N33" i="14"/>
  <c r="AF33" i="14"/>
  <c r="M40" i="14"/>
  <c r="AE33" i="14"/>
  <c r="N35" i="14"/>
  <c r="AF35" i="14"/>
  <c r="AE35" i="14"/>
  <c r="N55" i="14"/>
  <c r="AF55" i="14"/>
  <c r="AE55" i="14"/>
  <c r="N8" i="14"/>
  <c r="AF8" i="14"/>
  <c r="AE8" i="14"/>
  <c r="P7" i="14"/>
  <c r="Q7" i="14"/>
  <c r="N58" i="14"/>
  <c r="AF58" i="14"/>
  <c r="AE58" i="14"/>
  <c r="N62" i="14"/>
  <c r="AF62" i="14"/>
  <c r="AE62" i="14"/>
  <c r="M69" i="14"/>
  <c r="I6" i="13"/>
  <c r="N5" i="14"/>
  <c r="M9" i="14"/>
  <c r="AF5" i="14"/>
  <c r="AE5" i="14"/>
  <c r="AE14" i="14"/>
  <c r="N14" i="14"/>
  <c r="AF14" i="14"/>
  <c r="N10" i="14"/>
  <c r="M12" i="14"/>
  <c r="AF10" i="14"/>
  <c r="AE10" i="14"/>
  <c r="Q64" i="14"/>
  <c r="P64" i="14"/>
  <c r="N6" i="14"/>
  <c r="AF6" i="14"/>
  <c r="AE6" i="14"/>
  <c r="AE13" i="14"/>
  <c r="N13" i="14"/>
  <c r="M17" i="14"/>
  <c r="AF13" i="14"/>
  <c r="N25" i="14"/>
  <c r="AF25" i="14"/>
  <c r="M32" i="14"/>
  <c r="AE25" i="14"/>
  <c r="N31" i="14"/>
  <c r="AF31" i="14"/>
  <c r="AE31" i="14"/>
  <c r="N11" i="14"/>
  <c r="AF11" i="14"/>
  <c r="AE11" i="14"/>
  <c r="N23" i="14"/>
  <c r="AF23" i="14"/>
  <c r="AE23" i="14"/>
  <c r="N27" i="14"/>
  <c r="AF27" i="14"/>
  <c r="AE27" i="14"/>
  <c r="N29" i="14"/>
  <c r="AF29" i="14"/>
  <c r="AE29" i="14"/>
  <c r="N36" i="14"/>
  <c r="AF36" i="14"/>
  <c r="AE36" i="14"/>
  <c r="N38" i="14"/>
  <c r="AF38" i="14"/>
  <c r="AE38" i="14"/>
  <c r="N42" i="14"/>
  <c r="AF42" i="14"/>
  <c r="AE42" i="14"/>
  <c r="N56" i="14"/>
  <c r="AF56" i="14"/>
  <c r="AE56" i="14"/>
  <c r="Q61" i="14"/>
  <c r="P61" i="14"/>
  <c r="Q66" i="14"/>
  <c r="P66" i="14"/>
  <c r="N34" i="14"/>
  <c r="AF34" i="14"/>
  <c r="AE34" i="14"/>
  <c r="M45" i="14"/>
  <c r="N54" i="14"/>
  <c r="AF54" i="14"/>
  <c r="AE54" i="14"/>
  <c r="M60" i="14"/>
  <c r="N21" i="14"/>
  <c r="N51" i="14"/>
  <c r="N20" i="14"/>
  <c r="P22" i="14"/>
  <c r="P26" i="14"/>
  <c r="AE41" i="14"/>
  <c r="N50" i="14"/>
  <c r="AE61" i="14"/>
  <c r="D20" i="13"/>
  <c r="AF41" i="14"/>
  <c r="N49" i="14"/>
  <c r="N68" i="14"/>
  <c r="N46" i="14"/>
  <c r="N47" i="14"/>
  <c r="P16" i="14"/>
  <c r="AE22" i="14"/>
  <c r="AE26" i="14"/>
  <c r="AE21" i="14"/>
  <c r="AE51" i="14"/>
  <c r="P65" i="14"/>
  <c r="P67" i="14"/>
  <c r="AE20" i="14"/>
  <c r="P41" i="14"/>
  <c r="P44" i="14"/>
  <c r="AE50" i="14"/>
  <c r="AE19" i="14"/>
  <c r="AE49" i="14"/>
  <c r="M53" i="14"/>
  <c r="AE48" i="14"/>
  <c r="AE68" i="14"/>
  <c r="AD70" i="12"/>
  <c r="Z70" i="12"/>
  <c r="Y70" i="12"/>
  <c r="M18" i="11" s="1"/>
  <c r="O70" i="12"/>
  <c r="K70" i="12"/>
  <c r="M13" i="11" s="1"/>
  <c r="AF69" i="12"/>
  <c r="V69" i="12"/>
  <c r="U69" i="12"/>
  <c r="O69" i="12"/>
  <c r="M69" i="12"/>
  <c r="AE69" i="12" s="1"/>
  <c r="K69" i="12"/>
  <c r="G69" i="12"/>
  <c r="AF68" i="12"/>
  <c r="AE68" i="12"/>
  <c r="V68" i="12"/>
  <c r="U68" i="12"/>
  <c r="O68" i="12"/>
  <c r="M68" i="12"/>
  <c r="N68" i="12" s="1"/>
  <c r="K68" i="12"/>
  <c r="G68" i="12"/>
  <c r="V67" i="12"/>
  <c r="M67" i="12" s="1"/>
  <c r="U67" i="12"/>
  <c r="O67" i="12"/>
  <c r="K67" i="12"/>
  <c r="G67" i="12"/>
  <c r="AF66" i="12"/>
  <c r="AE66" i="12"/>
  <c r="X66" i="12"/>
  <c r="W66" i="12"/>
  <c r="V66" i="12"/>
  <c r="U66" i="12"/>
  <c r="O66" i="12"/>
  <c r="M66" i="12"/>
  <c r="N66" i="12" s="1"/>
  <c r="K66" i="12"/>
  <c r="G66" i="12"/>
  <c r="V65" i="12"/>
  <c r="M65" i="12" s="1"/>
  <c r="U65" i="12"/>
  <c r="O65" i="12"/>
  <c r="K65" i="12"/>
  <c r="G65" i="12"/>
  <c r="V64" i="12"/>
  <c r="M64" i="12" s="1"/>
  <c r="U64" i="12"/>
  <c r="O64" i="12"/>
  <c r="K64" i="12"/>
  <c r="G64" i="12"/>
  <c r="V63" i="12"/>
  <c r="M63" i="12" s="1"/>
  <c r="U63" i="12"/>
  <c r="O63" i="12"/>
  <c r="K63" i="12"/>
  <c r="G63" i="12"/>
  <c r="X62" i="12"/>
  <c r="W62" i="12"/>
  <c r="V62" i="12"/>
  <c r="M62" i="12" s="1"/>
  <c r="O62" i="12"/>
  <c r="K62" i="12"/>
  <c r="G62" i="12"/>
  <c r="AD61" i="12"/>
  <c r="J21" i="11" s="1"/>
  <c r="Z61" i="12"/>
  <c r="J19" i="11" s="1"/>
  <c r="Y61" i="12"/>
  <c r="O61" i="12"/>
  <c r="K61" i="12"/>
  <c r="V60" i="12"/>
  <c r="M60" i="12" s="1"/>
  <c r="U60" i="12"/>
  <c r="O60" i="12"/>
  <c r="K60" i="12"/>
  <c r="G60" i="12"/>
  <c r="V59" i="12"/>
  <c r="M59" i="12" s="1"/>
  <c r="U59" i="12"/>
  <c r="O59" i="12"/>
  <c r="K59" i="12"/>
  <c r="G59" i="12"/>
  <c r="V58" i="12"/>
  <c r="M58" i="12" s="1"/>
  <c r="U58" i="12"/>
  <c r="O58" i="12"/>
  <c r="K58" i="12"/>
  <c r="G58" i="12"/>
  <c r="V57" i="12"/>
  <c r="M57" i="12" s="1"/>
  <c r="U57" i="12"/>
  <c r="O57" i="12"/>
  <c r="K57" i="12"/>
  <c r="G57" i="12"/>
  <c r="AE56" i="12"/>
  <c r="V56" i="12"/>
  <c r="U56" i="12"/>
  <c r="O56" i="12"/>
  <c r="N56" i="12"/>
  <c r="M56" i="12"/>
  <c r="AF56" i="12" s="1"/>
  <c r="K56" i="12"/>
  <c r="G56" i="12"/>
  <c r="AE55" i="12"/>
  <c r="V55" i="12"/>
  <c r="O55" i="12"/>
  <c r="N55" i="12"/>
  <c r="M55" i="12"/>
  <c r="AF55" i="12" s="1"/>
  <c r="K55" i="12"/>
  <c r="G55" i="12"/>
  <c r="AD54" i="12"/>
  <c r="Z54" i="12"/>
  <c r="Y54" i="12"/>
  <c r="O54" i="12"/>
  <c r="K54" i="12"/>
  <c r="V53" i="12"/>
  <c r="U53" i="12"/>
  <c r="O53" i="12"/>
  <c r="M53" i="12"/>
  <c r="AF53" i="12" s="1"/>
  <c r="K53" i="12"/>
  <c r="G53" i="12"/>
  <c r="V52" i="12"/>
  <c r="U52" i="12"/>
  <c r="O52" i="12"/>
  <c r="M52" i="12"/>
  <c r="AF52" i="12" s="1"/>
  <c r="K52" i="12"/>
  <c r="G52" i="12"/>
  <c r="AF51" i="12"/>
  <c r="V51" i="12"/>
  <c r="U51" i="12"/>
  <c r="O51" i="12"/>
  <c r="M51" i="12"/>
  <c r="AE51" i="12" s="1"/>
  <c r="K51" i="12"/>
  <c r="G51" i="12"/>
  <c r="AF50" i="12"/>
  <c r="AE50" i="12"/>
  <c r="V50" i="12"/>
  <c r="U50" i="12"/>
  <c r="O50" i="12"/>
  <c r="N50" i="12"/>
  <c r="M50" i="12"/>
  <c r="K50" i="12"/>
  <c r="G50" i="12"/>
  <c r="V49" i="12"/>
  <c r="M49" i="12" s="1"/>
  <c r="U49" i="12"/>
  <c r="O49" i="12"/>
  <c r="K49" i="12"/>
  <c r="G49" i="12"/>
  <c r="V48" i="12"/>
  <c r="M48" i="12" s="1"/>
  <c r="U48" i="12"/>
  <c r="O48" i="12"/>
  <c r="K48" i="12"/>
  <c r="G48" i="12"/>
  <c r="V47" i="12"/>
  <c r="M47" i="12" s="1"/>
  <c r="O47" i="12"/>
  <c r="K47" i="12"/>
  <c r="G47" i="12"/>
  <c r="AD46" i="12"/>
  <c r="H21" i="11" s="1"/>
  <c r="Z46" i="12"/>
  <c r="H19" i="11" s="1"/>
  <c r="Y46" i="12"/>
  <c r="H18" i="11" s="1"/>
  <c r="O46" i="12"/>
  <c r="K46" i="12"/>
  <c r="V45" i="12"/>
  <c r="M45" i="12" s="1"/>
  <c r="U45" i="12"/>
  <c r="O45" i="12"/>
  <c r="K45" i="12"/>
  <c r="G45" i="12"/>
  <c r="V44" i="12"/>
  <c r="M44" i="12" s="1"/>
  <c r="U44" i="12"/>
  <c r="O44" i="12"/>
  <c r="K44" i="12"/>
  <c r="G44" i="12"/>
  <c r="V43" i="12"/>
  <c r="M43" i="12" s="1"/>
  <c r="U43" i="12"/>
  <c r="O43" i="12"/>
  <c r="K43" i="12"/>
  <c r="G43" i="12"/>
  <c r="X42" i="12"/>
  <c r="W42" i="12"/>
  <c r="V42" i="12"/>
  <c r="M42" i="12" s="1"/>
  <c r="O42" i="12"/>
  <c r="K42" i="12"/>
  <c r="G42" i="12"/>
  <c r="AD41" i="12"/>
  <c r="AD2" i="12" s="1"/>
  <c r="N6" i="11" s="1"/>
  <c r="Z41" i="12"/>
  <c r="Y41" i="12"/>
  <c r="Y2" i="12" s="1"/>
  <c r="K6" i="11" s="1"/>
  <c r="O41" i="12"/>
  <c r="K41" i="12"/>
  <c r="V40" i="12"/>
  <c r="M40" i="12" s="1"/>
  <c r="U40" i="12"/>
  <c r="O40" i="12"/>
  <c r="K40" i="12"/>
  <c r="G40" i="12"/>
  <c r="AE39" i="12"/>
  <c r="V39" i="12"/>
  <c r="U39" i="12"/>
  <c r="O39" i="12"/>
  <c r="N39" i="12"/>
  <c r="M39" i="12"/>
  <c r="AF39" i="12" s="1"/>
  <c r="K39" i="12"/>
  <c r="G39" i="12"/>
  <c r="V38" i="12"/>
  <c r="U38" i="12"/>
  <c r="O38" i="12"/>
  <c r="M38" i="12"/>
  <c r="AF38" i="12" s="1"/>
  <c r="K38" i="12"/>
  <c r="G38" i="12"/>
  <c r="X37" i="12"/>
  <c r="W37" i="12"/>
  <c r="V37" i="12"/>
  <c r="U37" i="12"/>
  <c r="O37" i="12"/>
  <c r="N37" i="12"/>
  <c r="M37" i="12"/>
  <c r="AF37" i="12" s="1"/>
  <c r="K37" i="12"/>
  <c r="G37" i="12"/>
  <c r="V36" i="12"/>
  <c r="U36" i="12"/>
  <c r="O36" i="12"/>
  <c r="M36" i="12"/>
  <c r="AF36" i="12" s="1"/>
  <c r="K36" i="12"/>
  <c r="G36" i="12"/>
  <c r="V35" i="12"/>
  <c r="U35" i="12"/>
  <c r="O35" i="12"/>
  <c r="M35" i="12"/>
  <c r="AF35" i="12" s="1"/>
  <c r="K35" i="12"/>
  <c r="G35" i="12"/>
  <c r="V34" i="12"/>
  <c r="U34" i="12"/>
  <c r="O34" i="12"/>
  <c r="M34" i="12"/>
  <c r="AF34" i="12" s="1"/>
  <c r="K34" i="12"/>
  <c r="G34" i="12"/>
  <c r="X33" i="12"/>
  <c r="W33" i="12"/>
  <c r="V33" i="12"/>
  <c r="O33" i="12"/>
  <c r="M33" i="12"/>
  <c r="AF33" i="12" s="1"/>
  <c r="K33" i="12"/>
  <c r="G33" i="12"/>
  <c r="AD32" i="12"/>
  <c r="Z32" i="12"/>
  <c r="Z2" i="12" s="1"/>
  <c r="L6" i="11" s="1"/>
  <c r="Y32" i="12"/>
  <c r="O32" i="12"/>
  <c r="K32" i="12"/>
  <c r="V31" i="12"/>
  <c r="U31" i="12"/>
  <c r="O31" i="12"/>
  <c r="M31" i="12"/>
  <c r="AF31" i="12" s="1"/>
  <c r="K31" i="12"/>
  <c r="G31" i="12"/>
  <c r="AF30" i="12"/>
  <c r="V30" i="12"/>
  <c r="U30" i="12"/>
  <c r="O30" i="12"/>
  <c r="M30" i="12"/>
  <c r="AE30" i="12" s="1"/>
  <c r="K30" i="12"/>
  <c r="G30" i="12"/>
  <c r="AF29" i="12"/>
  <c r="AE29" i="12"/>
  <c r="V29" i="12"/>
  <c r="U29" i="12"/>
  <c r="O29" i="12"/>
  <c r="M29" i="12"/>
  <c r="N29" i="12" s="1"/>
  <c r="K29" i="12"/>
  <c r="G29" i="12"/>
  <c r="AF28" i="12"/>
  <c r="AE28" i="12"/>
  <c r="X28" i="12"/>
  <c r="W28" i="12"/>
  <c r="V28" i="12"/>
  <c r="U28" i="12"/>
  <c r="O28" i="12"/>
  <c r="M28" i="12"/>
  <c r="N28" i="12" s="1"/>
  <c r="K28" i="12"/>
  <c r="G28" i="12"/>
  <c r="AF27" i="12"/>
  <c r="AE27" i="12"/>
  <c r="V27" i="12"/>
  <c r="U27" i="12"/>
  <c r="O27" i="12"/>
  <c r="M27" i="12"/>
  <c r="N27" i="12" s="1"/>
  <c r="K27" i="12"/>
  <c r="G27" i="12"/>
  <c r="V26" i="12"/>
  <c r="M26" i="12" s="1"/>
  <c r="U26" i="12"/>
  <c r="O26" i="12"/>
  <c r="K26" i="12"/>
  <c r="G26" i="12"/>
  <c r="AF25" i="12"/>
  <c r="AE25" i="12"/>
  <c r="X25" i="12"/>
  <c r="W25" i="12"/>
  <c r="V25" i="12"/>
  <c r="O25" i="12"/>
  <c r="M25" i="12"/>
  <c r="N25" i="12" s="1"/>
  <c r="K25" i="12"/>
  <c r="G25" i="12"/>
  <c r="AD24" i="12"/>
  <c r="Z24" i="12"/>
  <c r="Y24" i="12"/>
  <c r="O24" i="12"/>
  <c r="K24" i="12"/>
  <c r="G13" i="11" s="1"/>
  <c r="V23" i="12"/>
  <c r="M23" i="12" s="1"/>
  <c r="U23" i="12"/>
  <c r="O23" i="12"/>
  <c r="K23" i="12"/>
  <c r="G23" i="12"/>
  <c r="V22" i="12"/>
  <c r="M22" i="12" s="1"/>
  <c r="U22" i="12"/>
  <c r="O22" i="12"/>
  <c r="K22" i="12"/>
  <c r="G22" i="12"/>
  <c r="V21" i="12"/>
  <c r="M21" i="12" s="1"/>
  <c r="U21" i="12"/>
  <c r="O21" i="12"/>
  <c r="K21" i="12"/>
  <c r="G21" i="12"/>
  <c r="V20" i="12"/>
  <c r="M20" i="12" s="1"/>
  <c r="U20" i="12"/>
  <c r="O20" i="12"/>
  <c r="K20" i="12"/>
  <c r="G20" i="12"/>
  <c r="V19" i="12"/>
  <c r="M19" i="12" s="1"/>
  <c r="U19" i="12"/>
  <c r="O19" i="12"/>
  <c r="K19" i="12"/>
  <c r="G19" i="12"/>
  <c r="V18" i="12"/>
  <c r="M18" i="12" s="1"/>
  <c r="O18" i="12"/>
  <c r="K18" i="12"/>
  <c r="G18" i="12"/>
  <c r="AD17" i="12"/>
  <c r="Z17" i="12"/>
  <c r="Y17" i="12"/>
  <c r="F18" i="11" s="1"/>
  <c r="O17" i="12"/>
  <c r="K17" i="12"/>
  <c r="F13" i="11" s="1"/>
  <c r="AE16" i="12"/>
  <c r="V16" i="12"/>
  <c r="U16" i="12"/>
  <c r="O16" i="12"/>
  <c r="N16" i="12"/>
  <c r="M16" i="12"/>
  <c r="AF16" i="12" s="1"/>
  <c r="K16" i="12"/>
  <c r="G16" i="12"/>
  <c r="V15" i="12"/>
  <c r="U15" i="12"/>
  <c r="O15" i="12"/>
  <c r="M15" i="12"/>
  <c r="AF15" i="12" s="1"/>
  <c r="K15" i="12"/>
  <c r="G15" i="12"/>
  <c r="V14" i="12"/>
  <c r="U14" i="12"/>
  <c r="O14" i="12"/>
  <c r="M14" i="12"/>
  <c r="AF14" i="12" s="1"/>
  <c r="K14" i="12"/>
  <c r="G14" i="12"/>
  <c r="V13" i="12"/>
  <c r="O13" i="12"/>
  <c r="M13" i="12"/>
  <c r="M17" i="12" s="1"/>
  <c r="K13" i="12"/>
  <c r="G13" i="12"/>
  <c r="AD12" i="12"/>
  <c r="Z12" i="12"/>
  <c r="Y12" i="12"/>
  <c r="E18" i="11" s="1"/>
  <c r="O12" i="12"/>
  <c r="M12" i="12"/>
  <c r="AF12" i="12" s="1"/>
  <c r="AG10" i="12" s="1"/>
  <c r="K12" i="12"/>
  <c r="E13" i="11" s="1"/>
  <c r="AF11" i="12"/>
  <c r="V11" i="12"/>
  <c r="U11" i="12"/>
  <c r="O11" i="12"/>
  <c r="M11" i="12"/>
  <c r="AE11" i="12" s="1"/>
  <c r="K11" i="12"/>
  <c r="G11" i="12"/>
  <c r="AF10" i="12"/>
  <c r="V10" i="12"/>
  <c r="O10" i="12"/>
  <c r="M10" i="12"/>
  <c r="AE10" i="12" s="1"/>
  <c r="K10" i="12"/>
  <c r="G10" i="12"/>
  <c r="AD9" i="12"/>
  <c r="Z9" i="12"/>
  <c r="Y9" i="12"/>
  <c r="O9" i="12"/>
  <c r="K9" i="12"/>
  <c r="D13" i="11" s="1"/>
  <c r="V8" i="12"/>
  <c r="M8" i="12" s="1"/>
  <c r="U8" i="12"/>
  <c r="O8" i="12"/>
  <c r="K8" i="12"/>
  <c r="G8" i="12"/>
  <c r="V7" i="12"/>
  <c r="M7" i="12" s="1"/>
  <c r="U7" i="12"/>
  <c r="O7" i="12"/>
  <c r="K7" i="12"/>
  <c r="G7" i="12"/>
  <c r="V6" i="12"/>
  <c r="M6" i="12" s="1"/>
  <c r="U6" i="12"/>
  <c r="O6" i="12"/>
  <c r="K6" i="12"/>
  <c r="G6" i="12"/>
  <c r="V5" i="12"/>
  <c r="M5" i="12" s="1"/>
  <c r="O5" i="12"/>
  <c r="K5" i="12"/>
  <c r="G5" i="12"/>
  <c r="F1" i="12" s="1"/>
  <c r="H2" i="12"/>
  <c r="H1" i="12"/>
  <c r="D1" i="12"/>
  <c r="M22" i="11"/>
  <c r="L22" i="11"/>
  <c r="K22" i="11"/>
  <c r="J22" i="11"/>
  <c r="I22" i="11"/>
  <c r="H22" i="11"/>
  <c r="G22" i="11"/>
  <c r="F22" i="11"/>
  <c r="E22" i="11"/>
  <c r="D22" i="11"/>
  <c r="M21" i="11"/>
  <c r="L21" i="11"/>
  <c r="K21" i="11"/>
  <c r="I21" i="11"/>
  <c r="G21" i="11"/>
  <c r="F21" i="11"/>
  <c r="E21" i="11"/>
  <c r="D21" i="11"/>
  <c r="M20" i="11"/>
  <c r="L20" i="11"/>
  <c r="K20" i="11"/>
  <c r="J20" i="11"/>
  <c r="I20" i="11"/>
  <c r="H20" i="11"/>
  <c r="G20" i="11"/>
  <c r="F20" i="11"/>
  <c r="E20" i="11"/>
  <c r="D20" i="11"/>
  <c r="M19" i="11"/>
  <c r="L19" i="11"/>
  <c r="K19" i="11"/>
  <c r="I19" i="11"/>
  <c r="G19" i="11"/>
  <c r="F19" i="11"/>
  <c r="E19" i="11"/>
  <c r="D19" i="11"/>
  <c r="K18" i="11"/>
  <c r="J18" i="11"/>
  <c r="I18" i="11"/>
  <c r="G18" i="11"/>
  <c r="D18" i="11"/>
  <c r="M17" i="11"/>
  <c r="L17" i="11"/>
  <c r="K17" i="11"/>
  <c r="J17" i="11"/>
  <c r="I17" i="11"/>
  <c r="H17" i="11"/>
  <c r="G17" i="11"/>
  <c r="F17" i="11"/>
  <c r="E17" i="11"/>
  <c r="D17" i="11"/>
  <c r="M16" i="11"/>
  <c r="L16" i="11"/>
  <c r="K16" i="11"/>
  <c r="J16" i="11"/>
  <c r="I16" i="11"/>
  <c r="H16" i="11"/>
  <c r="G16" i="11"/>
  <c r="F16" i="11"/>
  <c r="E16" i="11"/>
  <c r="D16" i="11"/>
  <c r="L13" i="11"/>
  <c r="K13" i="11"/>
  <c r="I6" i="11" s="1"/>
  <c r="J13" i="11"/>
  <c r="I13" i="11"/>
  <c r="H13" i="11"/>
  <c r="M6" i="11"/>
  <c r="F3" i="11"/>
  <c r="C3" i="11"/>
  <c r="K15" i="17" l="1"/>
  <c r="I8" i="17" s="1"/>
  <c r="I7" i="17"/>
  <c r="E7" i="17"/>
  <c r="F7" i="17"/>
  <c r="G7" i="17"/>
  <c r="G8" i="17"/>
  <c r="F8" i="17"/>
  <c r="E8" i="17"/>
  <c r="Q12" i="16"/>
  <c r="R10" i="16" s="1"/>
  <c r="P12" i="16"/>
  <c r="E14" i="15"/>
  <c r="E15" i="15" s="1"/>
  <c r="H14" i="15"/>
  <c r="H15" i="15" s="1"/>
  <c r="Q44" i="16"/>
  <c r="R40" i="16" s="1"/>
  <c r="P44" i="16"/>
  <c r="G14" i="15"/>
  <c r="G15" i="15" s="1"/>
  <c r="Q24" i="16"/>
  <c r="R18" i="16" s="1"/>
  <c r="P24" i="16"/>
  <c r="P31" i="16"/>
  <c r="Q31" i="16"/>
  <c r="R25" i="16" s="1"/>
  <c r="K14" i="15"/>
  <c r="F14" i="15"/>
  <c r="F15" i="15" s="1"/>
  <c r="P17" i="16"/>
  <c r="Q17" i="16"/>
  <c r="R13" i="16" s="1"/>
  <c r="Q39" i="16"/>
  <c r="R32" i="16" s="1"/>
  <c r="P39" i="16"/>
  <c r="L14" i="15"/>
  <c r="L15" i="15" s="1"/>
  <c r="Q59" i="16"/>
  <c r="R53" i="16" s="1"/>
  <c r="P59" i="16"/>
  <c r="J14" i="15"/>
  <c r="J15" i="15" s="1"/>
  <c r="P52" i="16"/>
  <c r="Q52" i="16"/>
  <c r="R45" i="16" s="1"/>
  <c r="I14" i="15"/>
  <c r="I15" i="15" s="1"/>
  <c r="D14" i="15"/>
  <c r="D2" i="16"/>
  <c r="Q9" i="16"/>
  <c r="R5" i="16" s="1"/>
  <c r="P9" i="16"/>
  <c r="Q50" i="14"/>
  <c r="P50" i="14"/>
  <c r="Q42" i="14"/>
  <c r="P42" i="14"/>
  <c r="Q27" i="14"/>
  <c r="P27" i="14"/>
  <c r="N24" i="14"/>
  <c r="AF24" i="14"/>
  <c r="AG18" i="14" s="1"/>
  <c r="AE24" i="14"/>
  <c r="Q37" i="14"/>
  <c r="P37" i="14"/>
  <c r="P25" i="14"/>
  <c r="Q25" i="14"/>
  <c r="N12" i="14"/>
  <c r="AF12" i="14"/>
  <c r="AG10" i="14" s="1"/>
  <c r="AE12" i="14"/>
  <c r="Q55" i="14"/>
  <c r="P55" i="14"/>
  <c r="P34" i="14"/>
  <c r="Q34" i="14"/>
  <c r="Q10" i="14"/>
  <c r="P10" i="14"/>
  <c r="Q62" i="14"/>
  <c r="P62" i="14"/>
  <c r="P57" i="14"/>
  <c r="Q57" i="14"/>
  <c r="N32" i="14"/>
  <c r="AF32" i="14"/>
  <c r="AG25" i="14" s="1"/>
  <c r="AE32" i="14"/>
  <c r="N53" i="14"/>
  <c r="AF53" i="14"/>
  <c r="AG46" i="14" s="1"/>
  <c r="AE53" i="14"/>
  <c r="Q38" i="14"/>
  <c r="P38" i="14"/>
  <c r="Q23" i="14"/>
  <c r="P23" i="14"/>
  <c r="AF17" i="14"/>
  <c r="AG13" i="14" s="1"/>
  <c r="AE17" i="14"/>
  <c r="N17" i="14"/>
  <c r="Q52" i="14"/>
  <c r="P52" i="14"/>
  <c r="Q18" i="14"/>
  <c r="P18" i="14"/>
  <c r="Q20" i="14"/>
  <c r="P20" i="14"/>
  <c r="Q13" i="14"/>
  <c r="P13" i="14"/>
  <c r="Q14" i="14"/>
  <c r="P14" i="14"/>
  <c r="P35" i="14"/>
  <c r="Q35" i="14"/>
  <c r="AF69" i="14"/>
  <c r="AG61" i="14" s="1"/>
  <c r="AE69" i="14"/>
  <c r="N69" i="14"/>
  <c r="Q47" i="14"/>
  <c r="P47" i="14"/>
  <c r="Q51" i="14"/>
  <c r="P51" i="14"/>
  <c r="Q58" i="14"/>
  <c r="P58" i="14"/>
  <c r="Q43" i="14"/>
  <c r="P43" i="14"/>
  <c r="Q63" i="14"/>
  <c r="P63" i="14"/>
  <c r="Q46" i="14"/>
  <c r="P46" i="14"/>
  <c r="Q21" i="14"/>
  <c r="P21" i="14"/>
  <c r="Q36" i="14"/>
  <c r="P36" i="14"/>
  <c r="Q11" i="14"/>
  <c r="P11" i="14"/>
  <c r="N40" i="14"/>
  <c r="AF40" i="14"/>
  <c r="AG33" i="14" s="1"/>
  <c r="AE40" i="14"/>
  <c r="Q68" i="14"/>
  <c r="P68" i="14"/>
  <c r="N60" i="14"/>
  <c r="AF60" i="14"/>
  <c r="AG54" i="14" s="1"/>
  <c r="AE60" i="14"/>
  <c r="P30" i="14"/>
  <c r="Q30" i="14"/>
  <c r="Q49" i="14"/>
  <c r="P49" i="14"/>
  <c r="P6" i="14"/>
  <c r="Q6" i="14"/>
  <c r="N9" i="14"/>
  <c r="AF9" i="14"/>
  <c r="AG5" i="14" s="1"/>
  <c r="AE9" i="14"/>
  <c r="Q33" i="14"/>
  <c r="P33" i="14"/>
  <c r="Q39" i="14"/>
  <c r="P39" i="14"/>
  <c r="Q59" i="14"/>
  <c r="P59" i="14"/>
  <c r="AE45" i="14"/>
  <c r="N45" i="14"/>
  <c r="AF45" i="14"/>
  <c r="AG41" i="14" s="1"/>
  <c r="P56" i="14"/>
  <c r="Q56" i="14"/>
  <c r="Q29" i="14"/>
  <c r="P29" i="14"/>
  <c r="P31" i="14"/>
  <c r="Q31" i="14"/>
  <c r="P5" i="14"/>
  <c r="Q5" i="14"/>
  <c r="Q54" i="14"/>
  <c r="P54" i="14"/>
  <c r="Q8" i="14"/>
  <c r="P8" i="14"/>
  <c r="P28" i="14"/>
  <c r="Q28" i="14"/>
  <c r="Q50" i="12"/>
  <c r="P16" i="12"/>
  <c r="P55" i="12"/>
  <c r="P39" i="12"/>
  <c r="P56" i="12"/>
  <c r="P37" i="12"/>
  <c r="N63" i="12"/>
  <c r="AE63" i="12"/>
  <c r="AF63" i="12"/>
  <c r="Q28" i="12"/>
  <c r="P28" i="12"/>
  <c r="N67" i="12"/>
  <c r="AF67" i="12"/>
  <c r="AE67" i="12"/>
  <c r="N6" i="12"/>
  <c r="AE6" i="12"/>
  <c r="AF6" i="12"/>
  <c r="Q25" i="12"/>
  <c r="P25" i="12"/>
  <c r="N59" i="12"/>
  <c r="AF59" i="12"/>
  <c r="AE59" i="12"/>
  <c r="N20" i="12"/>
  <c r="AF20" i="12"/>
  <c r="AE20" i="12"/>
  <c r="Q27" i="12"/>
  <c r="P27" i="12"/>
  <c r="N45" i="12"/>
  <c r="AF45" i="12"/>
  <c r="AE45" i="12"/>
  <c r="AF57" i="12"/>
  <c r="AE57" i="12"/>
  <c r="N57" i="12"/>
  <c r="N62" i="12"/>
  <c r="M70" i="12"/>
  <c r="AE62" i="12"/>
  <c r="AF62" i="12"/>
  <c r="N64" i="12"/>
  <c r="AE64" i="12"/>
  <c r="AF64" i="12"/>
  <c r="N18" i="12"/>
  <c r="AF18" i="12"/>
  <c r="AE18" i="12"/>
  <c r="M24" i="12"/>
  <c r="Q66" i="12"/>
  <c r="P66" i="12"/>
  <c r="F2" i="12"/>
  <c r="I3" i="11"/>
  <c r="N22" i="12"/>
  <c r="AE22" i="12"/>
  <c r="AF22" i="12"/>
  <c r="N26" i="12"/>
  <c r="AF26" i="12"/>
  <c r="M32" i="12"/>
  <c r="AE26" i="12"/>
  <c r="N47" i="12"/>
  <c r="AE47" i="12"/>
  <c r="AF47" i="12"/>
  <c r="M54" i="12"/>
  <c r="N7" i="12"/>
  <c r="AE7" i="12"/>
  <c r="AF7" i="12"/>
  <c r="AF40" i="12"/>
  <c r="AE40" i="12"/>
  <c r="N40" i="12"/>
  <c r="Q68" i="12"/>
  <c r="P68" i="12"/>
  <c r="N5" i="12"/>
  <c r="AE5" i="12"/>
  <c r="M9" i="12"/>
  <c r="AF5" i="12"/>
  <c r="N23" i="12"/>
  <c r="AF23" i="12"/>
  <c r="AE23" i="12"/>
  <c r="AF43" i="12"/>
  <c r="AE43" i="12"/>
  <c r="N43" i="12"/>
  <c r="N48" i="12"/>
  <c r="AE48" i="12"/>
  <c r="AF48" i="12"/>
  <c r="N58" i="12"/>
  <c r="AF58" i="12"/>
  <c r="AE58" i="12"/>
  <c r="N65" i="12"/>
  <c r="AF65" i="12"/>
  <c r="AE65" i="12"/>
  <c r="N17" i="12"/>
  <c r="AF17" i="12"/>
  <c r="AG13" i="12" s="1"/>
  <c r="AE17" i="12"/>
  <c r="N19" i="12"/>
  <c r="AF19" i="12"/>
  <c r="AE19" i="12"/>
  <c r="Q29" i="12"/>
  <c r="P29" i="12"/>
  <c r="N8" i="12"/>
  <c r="AF8" i="12"/>
  <c r="AE8" i="12"/>
  <c r="N60" i="12"/>
  <c r="AE60" i="12"/>
  <c r="AF60" i="12"/>
  <c r="N42" i="12"/>
  <c r="M46" i="12"/>
  <c r="AF42" i="12"/>
  <c r="AE42" i="12"/>
  <c r="N44" i="12"/>
  <c r="AF44" i="12"/>
  <c r="AE44" i="12"/>
  <c r="N49" i="12"/>
  <c r="AF49" i="12"/>
  <c r="AE49" i="12"/>
  <c r="G6" i="11"/>
  <c r="F6" i="11"/>
  <c r="E6" i="11"/>
  <c r="N21" i="12"/>
  <c r="AE21" i="12"/>
  <c r="AF21" i="12"/>
  <c r="Q16" i="12"/>
  <c r="N31" i="12"/>
  <c r="N34" i="12"/>
  <c r="Q37" i="12"/>
  <c r="Q39" i="12"/>
  <c r="N52" i="12"/>
  <c r="Q55" i="12"/>
  <c r="Q56" i="12"/>
  <c r="N10" i="12"/>
  <c r="N11" i="12"/>
  <c r="N30" i="12"/>
  <c r="N51" i="12"/>
  <c r="N69" i="12"/>
  <c r="L18" i="11"/>
  <c r="N12" i="12"/>
  <c r="N13" i="12"/>
  <c r="N14" i="12"/>
  <c r="N35" i="12"/>
  <c r="N53" i="12"/>
  <c r="M61" i="12"/>
  <c r="N15" i="12"/>
  <c r="N33" i="12"/>
  <c r="N36" i="12"/>
  <c r="N38" i="12"/>
  <c r="AE15" i="12"/>
  <c r="AE36" i="12"/>
  <c r="AE38" i="12"/>
  <c r="P50" i="12"/>
  <c r="AE13" i="12"/>
  <c r="AE14" i="12"/>
  <c r="AE35" i="12"/>
  <c r="AE37" i="12"/>
  <c r="M41" i="12"/>
  <c r="AE53" i="12"/>
  <c r="AE12" i="12"/>
  <c r="AF13" i="12"/>
  <c r="AE31" i="12"/>
  <c r="AE33" i="12"/>
  <c r="AE34" i="12"/>
  <c r="AE52" i="12"/>
  <c r="K15" i="15" l="1"/>
  <c r="I8" i="15" s="1"/>
  <c r="I7" i="15"/>
  <c r="G7" i="15"/>
  <c r="F7" i="15"/>
  <c r="E7" i="15"/>
  <c r="D15" i="15"/>
  <c r="P24" i="14"/>
  <c r="G14" i="13"/>
  <c r="G15" i="13" s="1"/>
  <c r="Q24" i="14"/>
  <c r="R18" i="14" s="1"/>
  <c r="Q60" i="14"/>
  <c r="R54" i="14" s="1"/>
  <c r="P60" i="14"/>
  <c r="J14" i="13"/>
  <c r="J15" i="13" s="1"/>
  <c r="M14" i="13"/>
  <c r="M15" i="13" s="1"/>
  <c r="Q69" i="14"/>
  <c r="R61" i="14" s="1"/>
  <c r="P69" i="14"/>
  <c r="I14" i="13"/>
  <c r="I15" i="13" s="1"/>
  <c r="P53" i="14"/>
  <c r="Q53" i="14"/>
  <c r="R46" i="14" s="1"/>
  <c r="Q9" i="14"/>
  <c r="R5" i="14" s="1"/>
  <c r="P9" i="14"/>
  <c r="D14" i="13"/>
  <c r="D2" i="14"/>
  <c r="F14" i="13"/>
  <c r="F15" i="13" s="1"/>
  <c r="Q17" i="14"/>
  <c r="R13" i="14" s="1"/>
  <c r="P17" i="14"/>
  <c r="Q32" i="14"/>
  <c r="R25" i="14" s="1"/>
  <c r="P32" i="14"/>
  <c r="K14" i="13"/>
  <c r="Q12" i="14"/>
  <c r="R10" i="14" s="1"/>
  <c r="P12" i="14"/>
  <c r="E14" i="13"/>
  <c r="E15" i="13" s="1"/>
  <c r="Q45" i="14"/>
  <c r="R41" i="14" s="1"/>
  <c r="H14" i="13"/>
  <c r="H15" i="13" s="1"/>
  <c r="P45" i="14"/>
  <c r="Q40" i="14"/>
  <c r="R33" i="14" s="1"/>
  <c r="P40" i="14"/>
  <c r="L14" i="13"/>
  <c r="L15" i="13" s="1"/>
  <c r="AF32" i="12"/>
  <c r="AG25" i="12" s="1"/>
  <c r="AE32" i="12"/>
  <c r="N32" i="12"/>
  <c r="P21" i="12"/>
  <c r="Q21" i="12"/>
  <c r="N41" i="12"/>
  <c r="AF41" i="12"/>
  <c r="AG33" i="12" s="1"/>
  <c r="AE41" i="12"/>
  <c r="P43" i="12"/>
  <c r="Q43" i="12"/>
  <c r="Q31" i="12"/>
  <c r="P31" i="12"/>
  <c r="N9" i="12"/>
  <c r="AF9" i="12"/>
  <c r="AG5" i="12" s="1"/>
  <c r="AE9" i="12"/>
  <c r="Q62" i="12"/>
  <c r="P62" i="12"/>
  <c r="Q33" i="12"/>
  <c r="P33" i="12"/>
  <c r="N46" i="12"/>
  <c r="AE46" i="12"/>
  <c r="AF46" i="12"/>
  <c r="AG42" i="12" s="1"/>
  <c r="Q48" i="12"/>
  <c r="P48" i="12"/>
  <c r="Q15" i="12"/>
  <c r="P15" i="12"/>
  <c r="Q42" i="12"/>
  <c r="P42" i="12"/>
  <c r="Q18" i="12"/>
  <c r="P18" i="12"/>
  <c r="N61" i="12"/>
  <c r="AE61" i="12"/>
  <c r="AF61" i="12"/>
  <c r="AG55" i="12" s="1"/>
  <c r="Q45" i="12"/>
  <c r="P45" i="12"/>
  <c r="Q17" i="12"/>
  <c r="R13" i="12" s="1"/>
  <c r="F14" i="11"/>
  <c r="F15" i="11" s="1"/>
  <c r="P17" i="12"/>
  <c r="P6" i="12"/>
  <c r="Q6" i="12"/>
  <c r="Q52" i="12"/>
  <c r="P52" i="12"/>
  <c r="P60" i="12"/>
  <c r="Q60" i="12"/>
  <c r="Q14" i="12"/>
  <c r="P14" i="12"/>
  <c r="Q12" i="12"/>
  <c r="R10" i="12" s="1"/>
  <c r="E14" i="11"/>
  <c r="E15" i="11" s="1"/>
  <c r="P12" i="12"/>
  <c r="Q34" i="12"/>
  <c r="P34" i="12"/>
  <c r="Q8" i="12"/>
  <c r="P8" i="12"/>
  <c r="Q20" i="12"/>
  <c r="P20" i="12"/>
  <c r="Q69" i="12"/>
  <c r="P69" i="12"/>
  <c r="Q44" i="12"/>
  <c r="P44" i="12"/>
  <c r="Q58" i="12"/>
  <c r="P58" i="12"/>
  <c r="P57" i="12"/>
  <c r="Q57" i="12"/>
  <c r="P40" i="12"/>
  <c r="Q40" i="12"/>
  <c r="Q64" i="12"/>
  <c r="P64" i="12"/>
  <c r="AF70" i="12"/>
  <c r="AG62" i="12" s="1"/>
  <c r="AE70" i="12"/>
  <c r="N70" i="12"/>
  <c r="Q38" i="12"/>
  <c r="P38" i="12"/>
  <c r="Q51" i="12"/>
  <c r="P51" i="12"/>
  <c r="P5" i="12"/>
  <c r="Q5" i="12"/>
  <c r="Q47" i="12"/>
  <c r="P47" i="12"/>
  <c r="N24" i="12"/>
  <c r="AF24" i="12"/>
  <c r="AG18" i="12" s="1"/>
  <c r="AE24" i="12"/>
  <c r="Q59" i="12"/>
  <c r="P59" i="12"/>
  <c r="Q11" i="12"/>
  <c r="P11" i="12"/>
  <c r="Q19" i="12"/>
  <c r="P19" i="12"/>
  <c r="Q10" i="12"/>
  <c r="P10" i="12"/>
  <c r="Q26" i="12"/>
  <c r="P26" i="12"/>
  <c r="Q53" i="12"/>
  <c r="P53" i="12"/>
  <c r="Q35" i="12"/>
  <c r="P35" i="12"/>
  <c r="Q22" i="12"/>
  <c r="P22" i="12"/>
  <c r="Q13" i="12"/>
  <c r="P13" i="12"/>
  <c r="Q49" i="12"/>
  <c r="P49" i="12"/>
  <c r="Q65" i="12"/>
  <c r="P65" i="12"/>
  <c r="Q23" i="12"/>
  <c r="P23" i="12"/>
  <c r="Q7" i="12"/>
  <c r="P7" i="12"/>
  <c r="Q67" i="12"/>
  <c r="P67" i="12"/>
  <c r="AF54" i="12"/>
  <c r="AG47" i="12" s="1"/>
  <c r="AE54" i="12"/>
  <c r="N54" i="12"/>
  <c r="Q36" i="12"/>
  <c r="P36" i="12"/>
  <c r="Q30" i="12"/>
  <c r="P30" i="12"/>
  <c r="P63" i="12"/>
  <c r="Q63" i="12"/>
  <c r="AD69" i="8"/>
  <c r="Z69" i="8"/>
  <c r="Y69" i="8"/>
  <c r="M18" i="7" s="1"/>
  <c r="O69" i="8"/>
  <c r="M69" i="8"/>
  <c r="AF69" i="8" s="1"/>
  <c r="AG64" i="8" s="1"/>
  <c r="K69" i="8"/>
  <c r="M13" i="7" s="1"/>
  <c r="V68" i="8"/>
  <c r="U68" i="8"/>
  <c r="O68" i="8"/>
  <c r="M68" i="8"/>
  <c r="AE68" i="8" s="1"/>
  <c r="K68" i="8"/>
  <c r="G68" i="8"/>
  <c r="AF67" i="8"/>
  <c r="X67" i="8"/>
  <c r="W67" i="8"/>
  <c r="V67" i="8"/>
  <c r="U67" i="8"/>
  <c r="O67" i="8"/>
  <c r="M67" i="8"/>
  <c r="N67" i="8" s="1"/>
  <c r="K67" i="8"/>
  <c r="G67" i="8"/>
  <c r="V66" i="8"/>
  <c r="U66" i="8"/>
  <c r="O66" i="8"/>
  <c r="M66" i="8"/>
  <c r="AE66" i="8" s="1"/>
  <c r="K66" i="8"/>
  <c r="G66" i="8"/>
  <c r="AF65" i="8"/>
  <c r="V65" i="8"/>
  <c r="U65" i="8"/>
  <c r="O65" i="8"/>
  <c r="M65" i="8"/>
  <c r="N65" i="8" s="1"/>
  <c r="K65" i="8"/>
  <c r="G65" i="8"/>
  <c r="AF64" i="8"/>
  <c r="X64" i="8"/>
  <c r="W64" i="8"/>
  <c r="V64" i="8"/>
  <c r="O64" i="8"/>
  <c r="M64" i="8"/>
  <c r="N64" i="8" s="1"/>
  <c r="K64" i="8"/>
  <c r="G64" i="8"/>
  <c r="AD63" i="8"/>
  <c r="Z63" i="8"/>
  <c r="Y63" i="8"/>
  <c r="O63" i="8"/>
  <c r="K63" i="8"/>
  <c r="J13" i="7" s="1"/>
  <c r="AF62" i="8"/>
  <c r="V62" i="8"/>
  <c r="U62" i="8"/>
  <c r="O62" i="8"/>
  <c r="M62" i="8"/>
  <c r="N62" i="8" s="1"/>
  <c r="K62" i="8"/>
  <c r="G62" i="8"/>
  <c r="V61" i="8"/>
  <c r="M61" i="8" s="1"/>
  <c r="U61" i="8"/>
  <c r="O61" i="8"/>
  <c r="K61" i="8"/>
  <c r="G61" i="8"/>
  <c r="V60" i="8"/>
  <c r="M60" i="8" s="1"/>
  <c r="U60" i="8"/>
  <c r="O60" i="8"/>
  <c r="K60" i="8"/>
  <c r="G60" i="8"/>
  <c r="V59" i="8"/>
  <c r="M59" i="8" s="1"/>
  <c r="U59" i="8"/>
  <c r="O59" i="8"/>
  <c r="K59" i="8"/>
  <c r="G59" i="8"/>
  <c r="V58" i="8"/>
  <c r="M58" i="8" s="1"/>
  <c r="U58" i="8"/>
  <c r="O58" i="8"/>
  <c r="K58" i="8"/>
  <c r="G58" i="8"/>
  <c r="V57" i="8"/>
  <c r="M57" i="8" s="1"/>
  <c r="O57" i="8"/>
  <c r="K57" i="8"/>
  <c r="G57" i="8"/>
  <c r="AD56" i="8"/>
  <c r="I21" i="7" s="1"/>
  <c r="Z56" i="8"/>
  <c r="Y56" i="8"/>
  <c r="I18" i="7" s="1"/>
  <c r="O56" i="8"/>
  <c r="K56" i="8"/>
  <c r="V55" i="8"/>
  <c r="M55" i="8" s="1"/>
  <c r="U55" i="8"/>
  <c r="O55" i="8"/>
  <c r="K55" i="8"/>
  <c r="G55" i="8"/>
  <c r="AE54" i="8"/>
  <c r="V54" i="8"/>
  <c r="U54" i="8"/>
  <c r="O54" i="8"/>
  <c r="N54" i="8"/>
  <c r="Q54" i="8" s="1"/>
  <c r="M54" i="8"/>
  <c r="AF54" i="8" s="1"/>
  <c r="K54" i="8"/>
  <c r="G54" i="8"/>
  <c r="V53" i="8"/>
  <c r="U53" i="8"/>
  <c r="O53" i="8"/>
  <c r="N53" i="8"/>
  <c r="Q53" i="8" s="1"/>
  <c r="M53" i="8"/>
  <c r="AE53" i="8" s="1"/>
  <c r="K53" i="8"/>
  <c r="G53" i="8"/>
  <c r="V52" i="8"/>
  <c r="U52" i="8"/>
  <c r="O52" i="8"/>
  <c r="M52" i="8"/>
  <c r="AF52" i="8" s="1"/>
  <c r="K52" i="8"/>
  <c r="G52" i="8"/>
  <c r="V51" i="8"/>
  <c r="U51" i="8"/>
  <c r="O51" i="8"/>
  <c r="M51" i="8"/>
  <c r="AF51" i="8" s="1"/>
  <c r="K51" i="8"/>
  <c r="G51" i="8"/>
  <c r="V50" i="8"/>
  <c r="U50" i="8"/>
  <c r="O50" i="8"/>
  <c r="M50" i="8"/>
  <c r="AE50" i="8" s="1"/>
  <c r="K50" i="8"/>
  <c r="G50" i="8"/>
  <c r="V49" i="8"/>
  <c r="O49" i="8"/>
  <c r="M49" i="8"/>
  <c r="AE49" i="8" s="1"/>
  <c r="K49" i="8"/>
  <c r="G49" i="8"/>
  <c r="AD48" i="8"/>
  <c r="Z48" i="8"/>
  <c r="Y48" i="8"/>
  <c r="O48" i="8"/>
  <c r="K48" i="8"/>
  <c r="V47" i="8"/>
  <c r="M47" i="8" s="1"/>
  <c r="U47" i="8"/>
  <c r="O47" i="8"/>
  <c r="K47" i="8"/>
  <c r="G47" i="8"/>
  <c r="V46" i="8"/>
  <c r="M46" i="8" s="1"/>
  <c r="U46" i="8"/>
  <c r="O46" i="8"/>
  <c r="K46" i="8"/>
  <c r="G46" i="8"/>
  <c r="V45" i="8"/>
  <c r="M45" i="8" s="1"/>
  <c r="U45" i="8"/>
  <c r="O45" i="8"/>
  <c r="K45" i="8"/>
  <c r="G45" i="8"/>
  <c r="X44" i="8"/>
  <c r="W44" i="8"/>
  <c r="V44" i="8"/>
  <c r="M44" i="8" s="1"/>
  <c r="O44" i="8"/>
  <c r="K44" i="8"/>
  <c r="G44" i="8"/>
  <c r="AD43" i="8"/>
  <c r="Z43" i="8"/>
  <c r="Y43" i="8"/>
  <c r="O43" i="8"/>
  <c r="K43" i="8"/>
  <c r="L13" i="7" s="1"/>
  <c r="V42" i="8"/>
  <c r="M42" i="8" s="1"/>
  <c r="U42" i="8"/>
  <c r="O42" i="8"/>
  <c r="K42" i="8"/>
  <c r="G42" i="8"/>
  <c r="V41" i="8"/>
  <c r="M41" i="8" s="1"/>
  <c r="U41" i="8"/>
  <c r="O41" i="8"/>
  <c r="K41" i="8"/>
  <c r="G41" i="8"/>
  <c r="X40" i="8"/>
  <c r="W40" i="8"/>
  <c r="V40" i="8"/>
  <c r="M40" i="8" s="1"/>
  <c r="U40" i="8"/>
  <c r="O40" i="8"/>
  <c r="K40" i="8"/>
  <c r="G40" i="8"/>
  <c r="V39" i="8"/>
  <c r="M39" i="8" s="1"/>
  <c r="U39" i="8"/>
  <c r="O39" i="8"/>
  <c r="K39" i="8"/>
  <c r="G39" i="8"/>
  <c r="V38" i="8"/>
  <c r="M38" i="8" s="1"/>
  <c r="U38" i="8"/>
  <c r="O38" i="8"/>
  <c r="K38" i="8"/>
  <c r="G38" i="8"/>
  <c r="X37" i="8"/>
  <c r="W37" i="8"/>
  <c r="V37" i="8"/>
  <c r="M37" i="8" s="1"/>
  <c r="O37" i="8"/>
  <c r="K37" i="8"/>
  <c r="G37" i="8"/>
  <c r="AD36" i="8"/>
  <c r="Z36" i="8"/>
  <c r="K19" i="7" s="1"/>
  <c r="Y36" i="8"/>
  <c r="K18" i="7" s="1"/>
  <c r="O36" i="8"/>
  <c r="K36" i="8"/>
  <c r="V35" i="8"/>
  <c r="M35" i="8" s="1"/>
  <c r="U35" i="8"/>
  <c r="O35" i="8"/>
  <c r="K35" i="8"/>
  <c r="G35" i="8"/>
  <c r="V34" i="8"/>
  <c r="M34" i="8" s="1"/>
  <c r="U34" i="8"/>
  <c r="O34" i="8"/>
  <c r="K34" i="8"/>
  <c r="G34" i="8"/>
  <c r="AE33" i="8"/>
  <c r="V33" i="8"/>
  <c r="U33" i="8"/>
  <c r="O33" i="8"/>
  <c r="N33" i="8"/>
  <c r="Q33" i="8" s="1"/>
  <c r="M33" i="8"/>
  <c r="AF33" i="8" s="1"/>
  <c r="K33" i="8"/>
  <c r="G33" i="8"/>
  <c r="X32" i="8"/>
  <c r="W32" i="8"/>
  <c r="V32" i="8"/>
  <c r="M32" i="8" s="1"/>
  <c r="U32" i="8"/>
  <c r="O32" i="8"/>
  <c r="K32" i="8"/>
  <c r="G32" i="8"/>
  <c r="AE31" i="8"/>
  <c r="V31" i="8"/>
  <c r="U31" i="8"/>
  <c r="O31" i="8"/>
  <c r="N31" i="8"/>
  <c r="Q31" i="8" s="1"/>
  <c r="M31" i="8"/>
  <c r="AF31" i="8" s="1"/>
  <c r="K31" i="8"/>
  <c r="G31" i="8"/>
  <c r="V30" i="8"/>
  <c r="U30" i="8"/>
  <c r="O30" i="8"/>
  <c r="N30" i="8"/>
  <c r="Q30" i="8" s="1"/>
  <c r="M30" i="8"/>
  <c r="AE30" i="8" s="1"/>
  <c r="K30" i="8"/>
  <c r="G30" i="8"/>
  <c r="X29" i="8"/>
  <c r="W29" i="8"/>
  <c r="V29" i="8"/>
  <c r="M29" i="8" s="1"/>
  <c r="O29" i="8"/>
  <c r="K29" i="8"/>
  <c r="G29" i="8"/>
  <c r="AD28" i="8"/>
  <c r="Z28" i="8"/>
  <c r="Y28" i="8"/>
  <c r="O28" i="8"/>
  <c r="K28" i="8"/>
  <c r="V27" i="8"/>
  <c r="U27" i="8"/>
  <c r="O27" i="8"/>
  <c r="N27" i="8"/>
  <c r="Q27" i="8" s="1"/>
  <c r="M27" i="8"/>
  <c r="AE27" i="8" s="1"/>
  <c r="K27" i="8"/>
  <c r="G27" i="8"/>
  <c r="V26" i="8"/>
  <c r="U26" i="8"/>
  <c r="O26" i="8"/>
  <c r="M26" i="8"/>
  <c r="AF26" i="8" s="1"/>
  <c r="K26" i="8"/>
  <c r="G26" i="8"/>
  <c r="V25" i="8"/>
  <c r="U25" i="8"/>
  <c r="O25" i="8"/>
  <c r="M25" i="8"/>
  <c r="AF25" i="8" s="1"/>
  <c r="K25" i="8"/>
  <c r="G25" i="8"/>
  <c r="V24" i="8"/>
  <c r="U24" i="8"/>
  <c r="O24" i="8"/>
  <c r="M24" i="8"/>
  <c r="AE24" i="8" s="1"/>
  <c r="K24" i="8"/>
  <c r="G24" i="8"/>
  <c r="F1" i="8" s="1"/>
  <c r="AF23" i="8"/>
  <c r="V23" i="8"/>
  <c r="U23" i="8"/>
  <c r="O23" i="8"/>
  <c r="M23" i="8"/>
  <c r="N23" i="8" s="1"/>
  <c r="K23" i="8"/>
  <c r="G23" i="8"/>
  <c r="AF22" i="8"/>
  <c r="V22" i="8"/>
  <c r="O22" i="8"/>
  <c r="M22" i="8"/>
  <c r="M28" i="8" s="1"/>
  <c r="K22" i="8"/>
  <c r="G22" i="8"/>
  <c r="AD21" i="8"/>
  <c r="F21" i="7" s="1"/>
  <c r="Z21" i="8"/>
  <c r="Y21" i="8"/>
  <c r="O21" i="8"/>
  <c r="K21" i="8"/>
  <c r="F13" i="7" s="1"/>
  <c r="V20" i="8"/>
  <c r="M20" i="8" s="1"/>
  <c r="U20" i="8"/>
  <c r="O20" i="8"/>
  <c r="K20" i="8"/>
  <c r="G20" i="8"/>
  <c r="X19" i="8"/>
  <c r="W19" i="8"/>
  <c r="V19" i="8"/>
  <c r="M19" i="8" s="1"/>
  <c r="U19" i="8"/>
  <c r="O19" i="8"/>
  <c r="K19" i="8"/>
  <c r="G19" i="8"/>
  <c r="V18" i="8"/>
  <c r="M18" i="8" s="1"/>
  <c r="U18" i="8"/>
  <c r="O18" i="8"/>
  <c r="K18" i="8"/>
  <c r="G18" i="8"/>
  <c r="V17" i="8"/>
  <c r="M17" i="8" s="1"/>
  <c r="U17" i="8"/>
  <c r="O17" i="8"/>
  <c r="K17" i="8"/>
  <c r="G17" i="8"/>
  <c r="V16" i="8"/>
  <c r="M16" i="8" s="1"/>
  <c r="O16" i="8"/>
  <c r="K16" i="8"/>
  <c r="G16" i="8"/>
  <c r="AD15" i="8"/>
  <c r="E21" i="7" s="1"/>
  <c r="Z15" i="8"/>
  <c r="E19" i="7" s="1"/>
  <c r="Y15" i="8"/>
  <c r="O15" i="8"/>
  <c r="K15" i="8"/>
  <c r="E13" i="7" s="1"/>
  <c r="V14" i="8"/>
  <c r="M14" i="8" s="1"/>
  <c r="U14" i="8"/>
  <c r="O14" i="8"/>
  <c r="K14" i="8"/>
  <c r="G14" i="8"/>
  <c r="V13" i="8"/>
  <c r="M13" i="8" s="1"/>
  <c r="U13" i="8"/>
  <c r="O13" i="8"/>
  <c r="K13" i="8"/>
  <c r="G13" i="8"/>
  <c r="X12" i="8"/>
  <c r="W12" i="8"/>
  <c r="V12" i="8"/>
  <c r="M12" i="8" s="1"/>
  <c r="U12" i="8"/>
  <c r="O12" i="8"/>
  <c r="K12" i="8"/>
  <c r="G12" i="8"/>
  <c r="V11" i="8"/>
  <c r="M11" i="8" s="1"/>
  <c r="O11" i="8"/>
  <c r="K11" i="8"/>
  <c r="G11" i="8"/>
  <c r="AD10" i="8"/>
  <c r="AD2" i="8" s="1"/>
  <c r="N6" i="7" s="1"/>
  <c r="Z10" i="8"/>
  <c r="D19" i="7" s="1"/>
  <c r="Y10" i="8"/>
  <c r="Y2" i="8" s="1"/>
  <c r="K6" i="7" s="1"/>
  <c r="O10" i="8"/>
  <c r="K10" i="8"/>
  <c r="D13" i="7" s="1"/>
  <c r="AE9" i="8"/>
  <c r="V9" i="8"/>
  <c r="U9" i="8"/>
  <c r="O9" i="8"/>
  <c r="N9" i="8"/>
  <c r="Q9" i="8" s="1"/>
  <c r="M9" i="8"/>
  <c r="AF9" i="8" s="1"/>
  <c r="K9" i="8"/>
  <c r="G9" i="8"/>
  <c r="X8" i="8"/>
  <c r="W8" i="8"/>
  <c r="V8" i="8"/>
  <c r="M8" i="8" s="1"/>
  <c r="U8" i="8"/>
  <c r="O8" i="8"/>
  <c r="K8" i="8"/>
  <c r="G8" i="8"/>
  <c r="AE7" i="8"/>
  <c r="V7" i="8"/>
  <c r="U7" i="8"/>
  <c r="O7" i="8"/>
  <c r="N7" i="8"/>
  <c r="Q7" i="8" s="1"/>
  <c r="M7" i="8"/>
  <c r="AF7" i="8" s="1"/>
  <c r="K7" i="8"/>
  <c r="G7" i="8"/>
  <c r="V6" i="8"/>
  <c r="U6" i="8"/>
  <c r="O6" i="8"/>
  <c r="N6" i="8"/>
  <c r="Q6" i="8" s="1"/>
  <c r="M6" i="8"/>
  <c r="AE6" i="8" s="1"/>
  <c r="K6" i="8"/>
  <c r="G6" i="8"/>
  <c r="V5" i="8"/>
  <c r="O5" i="8"/>
  <c r="N5" i="8"/>
  <c r="Q5" i="8" s="1"/>
  <c r="M5" i="8"/>
  <c r="K5" i="8"/>
  <c r="G5" i="8"/>
  <c r="H2" i="8"/>
  <c r="H1" i="8"/>
  <c r="D1" i="8"/>
  <c r="F3" i="7" s="1"/>
  <c r="M22" i="7"/>
  <c r="L22" i="7"/>
  <c r="K22" i="7"/>
  <c r="J22" i="7"/>
  <c r="I22" i="7"/>
  <c r="H22" i="7"/>
  <c r="G22" i="7"/>
  <c r="F22" i="7"/>
  <c r="E22" i="7"/>
  <c r="D22" i="7"/>
  <c r="M21" i="7"/>
  <c r="L21" i="7"/>
  <c r="K21" i="7"/>
  <c r="J21" i="7"/>
  <c r="H21" i="7"/>
  <c r="G21" i="7"/>
  <c r="M20" i="7"/>
  <c r="L20" i="7"/>
  <c r="K20" i="7"/>
  <c r="J20" i="7"/>
  <c r="I20" i="7"/>
  <c r="H20" i="7"/>
  <c r="G20" i="7"/>
  <c r="F20" i="7"/>
  <c r="E20" i="7"/>
  <c r="D20" i="7"/>
  <c r="M19" i="7"/>
  <c r="L19" i="7"/>
  <c r="J19" i="7"/>
  <c r="I19" i="7"/>
  <c r="H19" i="7"/>
  <c r="G19" i="7"/>
  <c r="F19" i="7"/>
  <c r="L18" i="7"/>
  <c r="J18" i="7"/>
  <c r="H18" i="7"/>
  <c r="G18" i="7"/>
  <c r="F18" i="7"/>
  <c r="E18" i="7"/>
  <c r="M17" i="7"/>
  <c r="L17" i="7"/>
  <c r="K17" i="7"/>
  <c r="J17" i="7"/>
  <c r="I17" i="7"/>
  <c r="H17" i="7"/>
  <c r="G17" i="7"/>
  <c r="F17" i="7"/>
  <c r="E17" i="7"/>
  <c r="D17" i="7"/>
  <c r="M16" i="7"/>
  <c r="L16" i="7"/>
  <c r="K16" i="7"/>
  <c r="J16" i="7"/>
  <c r="I16" i="7"/>
  <c r="H16" i="7"/>
  <c r="G16" i="7"/>
  <c r="F16" i="7"/>
  <c r="E16" i="7"/>
  <c r="D16" i="7"/>
  <c r="K13" i="7"/>
  <c r="I6" i="7" s="1"/>
  <c r="I13" i="7"/>
  <c r="H13" i="7"/>
  <c r="G13" i="7"/>
  <c r="M6" i="7"/>
  <c r="C3" i="7"/>
  <c r="F8" i="15" l="1"/>
  <c r="G8" i="15"/>
  <c r="E8" i="15"/>
  <c r="K15" i="13"/>
  <c r="I8" i="13" s="1"/>
  <c r="I7" i="13"/>
  <c r="D15" i="13"/>
  <c r="G7" i="13"/>
  <c r="F7" i="13"/>
  <c r="E7" i="13"/>
  <c r="Q24" i="12"/>
  <c r="R18" i="12" s="1"/>
  <c r="P24" i="12"/>
  <c r="G14" i="11"/>
  <c r="G15" i="11" s="1"/>
  <c r="Q41" i="12"/>
  <c r="R33" i="12" s="1"/>
  <c r="L14" i="11"/>
  <c r="L15" i="11" s="1"/>
  <c r="P41" i="12"/>
  <c r="Q46" i="12"/>
  <c r="R42" i="12" s="1"/>
  <c r="P46" i="12"/>
  <c r="H14" i="11"/>
  <c r="H15" i="11" s="1"/>
  <c r="Q61" i="12"/>
  <c r="R55" i="12" s="1"/>
  <c r="P61" i="12"/>
  <c r="J14" i="11"/>
  <c r="J15" i="11" s="1"/>
  <c r="I14" i="11"/>
  <c r="I15" i="11" s="1"/>
  <c r="P54" i="12"/>
  <c r="Q54" i="12"/>
  <c r="R47" i="12" s="1"/>
  <c r="Q32" i="12"/>
  <c r="R25" i="12" s="1"/>
  <c r="P32" i="12"/>
  <c r="K14" i="11"/>
  <c r="Q70" i="12"/>
  <c r="R62" i="12" s="1"/>
  <c r="P70" i="12"/>
  <c r="M14" i="11"/>
  <c r="M15" i="11" s="1"/>
  <c r="Q9" i="12"/>
  <c r="R5" i="12" s="1"/>
  <c r="P9" i="12"/>
  <c r="D14" i="11"/>
  <c r="D2" i="12"/>
  <c r="M21" i="8"/>
  <c r="AF16" i="8"/>
  <c r="AE16" i="8"/>
  <c r="N16" i="8"/>
  <c r="G6" i="7"/>
  <c r="F6" i="7"/>
  <c r="E6" i="7"/>
  <c r="M36" i="8"/>
  <c r="AE29" i="8"/>
  <c r="N29" i="8"/>
  <c r="AF29" i="8"/>
  <c r="AF45" i="8"/>
  <c r="AE45" i="8"/>
  <c r="N45" i="8"/>
  <c r="N58" i="8"/>
  <c r="AF58" i="8"/>
  <c r="AE58" i="8"/>
  <c r="N14" i="8"/>
  <c r="AE14" i="8"/>
  <c r="AF14" i="8"/>
  <c r="N19" i="8"/>
  <c r="AF19" i="8"/>
  <c r="AE19" i="8"/>
  <c r="AF34" i="8"/>
  <c r="AE34" i="8"/>
  <c r="N34" i="8"/>
  <c r="P23" i="8"/>
  <c r="Q23" i="8"/>
  <c r="AE32" i="8"/>
  <c r="N32" i="8"/>
  <c r="AF32" i="8"/>
  <c r="AE8" i="8"/>
  <c r="N8" i="8"/>
  <c r="AF8" i="8"/>
  <c r="P65" i="8"/>
  <c r="Q65" i="8"/>
  <c r="N61" i="8"/>
  <c r="AF61" i="8"/>
  <c r="AE61" i="8"/>
  <c r="Q67" i="8"/>
  <c r="P67" i="8"/>
  <c r="N38" i="8"/>
  <c r="AE38" i="8"/>
  <c r="AF38" i="8"/>
  <c r="N60" i="8"/>
  <c r="AF60" i="8"/>
  <c r="AE60" i="8"/>
  <c r="N44" i="8"/>
  <c r="M48" i="8"/>
  <c r="AF44" i="8"/>
  <c r="AE44" i="8"/>
  <c r="N46" i="8"/>
  <c r="AF46" i="8"/>
  <c r="AE46" i="8"/>
  <c r="AF59" i="8"/>
  <c r="AE59" i="8"/>
  <c r="N59" i="8"/>
  <c r="AF17" i="8"/>
  <c r="AE17" i="8"/>
  <c r="N17" i="8"/>
  <c r="F2" i="8"/>
  <c r="I3" i="7"/>
  <c r="AE37" i="8"/>
  <c r="M43" i="8"/>
  <c r="AF37" i="8"/>
  <c r="N37" i="8"/>
  <c r="N39" i="8"/>
  <c r="AF39" i="8"/>
  <c r="AE39" i="8"/>
  <c r="N41" i="8"/>
  <c r="AF41" i="8"/>
  <c r="AE41" i="8"/>
  <c r="AE28" i="8"/>
  <c r="AF28" i="8"/>
  <c r="AG22" i="8" s="1"/>
  <c r="N28" i="8"/>
  <c r="N35" i="8"/>
  <c r="AE35" i="8"/>
  <c r="AF35" i="8"/>
  <c r="P62" i="8"/>
  <c r="Q62" i="8"/>
  <c r="Q64" i="8"/>
  <c r="P64" i="8"/>
  <c r="AF55" i="8"/>
  <c r="AE55" i="8"/>
  <c r="N55" i="8"/>
  <c r="N47" i="8"/>
  <c r="AF47" i="8"/>
  <c r="AE47" i="8"/>
  <c r="N12" i="8"/>
  <c r="AE12" i="8"/>
  <c r="AF12" i="8"/>
  <c r="M10" i="8"/>
  <c r="N57" i="8"/>
  <c r="AF57" i="8"/>
  <c r="AE57" i="8"/>
  <c r="M63" i="8"/>
  <c r="N11" i="8"/>
  <c r="M15" i="8"/>
  <c r="AE11" i="8"/>
  <c r="AF11" i="8"/>
  <c r="AF13" i="8"/>
  <c r="AE13" i="8"/>
  <c r="N13" i="8"/>
  <c r="N18" i="8"/>
  <c r="AF18" i="8"/>
  <c r="AE18" i="8"/>
  <c r="N20" i="8"/>
  <c r="AF20" i="8"/>
  <c r="AE20" i="8"/>
  <c r="AE40" i="8"/>
  <c r="AF40" i="8"/>
  <c r="N40" i="8"/>
  <c r="AF42" i="8"/>
  <c r="AE42" i="8"/>
  <c r="N42" i="8"/>
  <c r="Z2" i="8"/>
  <c r="L6" i="7" s="1"/>
  <c r="AF5" i="8"/>
  <c r="AF6" i="8"/>
  <c r="AE26" i="8"/>
  <c r="AF27" i="8"/>
  <c r="AF30" i="8"/>
  <c r="AE52" i="8"/>
  <c r="AF53" i="8"/>
  <c r="M56" i="8"/>
  <c r="D18" i="7"/>
  <c r="AE22" i="8"/>
  <c r="AE23" i="8"/>
  <c r="AF24" i="8"/>
  <c r="AF49" i="8"/>
  <c r="AF50" i="8"/>
  <c r="AE62" i="8"/>
  <c r="AE64" i="8"/>
  <c r="AE65" i="8"/>
  <c r="AF66" i="8"/>
  <c r="AE67" i="8"/>
  <c r="AF68" i="8"/>
  <c r="P7" i="8"/>
  <c r="P9" i="8"/>
  <c r="N26" i="8"/>
  <c r="P31" i="8"/>
  <c r="P33" i="8"/>
  <c r="N52" i="8"/>
  <c r="P54" i="8"/>
  <c r="N69" i="8"/>
  <c r="P5" i="8"/>
  <c r="P6" i="8"/>
  <c r="N25" i="8"/>
  <c r="P27" i="8"/>
  <c r="P30" i="8"/>
  <c r="N51" i="8"/>
  <c r="P53" i="8"/>
  <c r="D21" i="7"/>
  <c r="N22" i="8"/>
  <c r="N24" i="8"/>
  <c r="N49" i="8"/>
  <c r="N50" i="8"/>
  <c r="N66" i="8"/>
  <c r="N68" i="8"/>
  <c r="AE5" i="8"/>
  <c r="AE25" i="8"/>
  <c r="AE51" i="8"/>
  <c r="AE69" i="8"/>
  <c r="AD74" i="6"/>
  <c r="Z74" i="6"/>
  <c r="Y74" i="6"/>
  <c r="M18" i="5" s="1"/>
  <c r="O74" i="6"/>
  <c r="M74" i="6"/>
  <c r="AF74" i="6" s="1"/>
  <c r="AG69" i="6" s="1"/>
  <c r="K74" i="6"/>
  <c r="AF73" i="6"/>
  <c r="V73" i="6"/>
  <c r="U73" i="6"/>
  <c r="O73" i="6"/>
  <c r="N73" i="6"/>
  <c r="Q73" i="6" s="1"/>
  <c r="M73" i="6"/>
  <c r="AE73" i="6" s="1"/>
  <c r="K73" i="6"/>
  <c r="G73" i="6"/>
  <c r="AF72" i="6"/>
  <c r="AE72" i="6"/>
  <c r="V72" i="6"/>
  <c r="U72" i="6"/>
  <c r="O72" i="6"/>
  <c r="M72" i="6"/>
  <c r="N72" i="6" s="1"/>
  <c r="K72" i="6"/>
  <c r="G72" i="6"/>
  <c r="AF71" i="6"/>
  <c r="AE71" i="6"/>
  <c r="X71" i="6"/>
  <c r="W71" i="6"/>
  <c r="V71" i="6"/>
  <c r="U71" i="6"/>
  <c r="O71" i="6"/>
  <c r="N71" i="6"/>
  <c r="Q71" i="6" s="1"/>
  <c r="M71" i="6"/>
  <c r="K71" i="6"/>
  <c r="G71" i="6"/>
  <c r="AF70" i="6"/>
  <c r="AE70" i="6"/>
  <c r="V70" i="6"/>
  <c r="U70" i="6"/>
  <c r="O70" i="6"/>
  <c r="M70" i="6"/>
  <c r="N70" i="6" s="1"/>
  <c r="K70" i="6"/>
  <c r="G70" i="6"/>
  <c r="AF69" i="6"/>
  <c r="AE69" i="6"/>
  <c r="X69" i="6"/>
  <c r="W69" i="6"/>
  <c r="V69" i="6"/>
  <c r="O69" i="6"/>
  <c r="M69" i="6"/>
  <c r="N69" i="6" s="1"/>
  <c r="K69" i="6"/>
  <c r="G69" i="6"/>
  <c r="AD68" i="6"/>
  <c r="Z68" i="6"/>
  <c r="Y68" i="6"/>
  <c r="O68" i="6"/>
  <c r="K68" i="6"/>
  <c r="AF67" i="6"/>
  <c r="AE67" i="6"/>
  <c r="V67" i="6"/>
  <c r="U67" i="6"/>
  <c r="O67" i="6"/>
  <c r="M67" i="6"/>
  <c r="N67" i="6" s="1"/>
  <c r="K67" i="6"/>
  <c r="G67" i="6"/>
  <c r="V66" i="6"/>
  <c r="M66" i="6" s="1"/>
  <c r="U66" i="6"/>
  <c r="O66" i="6"/>
  <c r="K66" i="6"/>
  <c r="G66" i="6"/>
  <c r="V65" i="6"/>
  <c r="M65" i="6" s="1"/>
  <c r="U65" i="6"/>
  <c r="O65" i="6"/>
  <c r="K65" i="6"/>
  <c r="G65" i="6"/>
  <c r="V64" i="6"/>
  <c r="M64" i="6" s="1"/>
  <c r="U64" i="6"/>
  <c r="O64" i="6"/>
  <c r="K64" i="6"/>
  <c r="G64" i="6"/>
  <c r="V63" i="6"/>
  <c r="M63" i="6" s="1"/>
  <c r="U63" i="6"/>
  <c r="O63" i="6"/>
  <c r="K63" i="6"/>
  <c r="G63" i="6"/>
  <c r="V62" i="6"/>
  <c r="M62" i="6" s="1"/>
  <c r="O62" i="6"/>
  <c r="K62" i="6"/>
  <c r="G62" i="6"/>
  <c r="AD61" i="6"/>
  <c r="Z61" i="6"/>
  <c r="I19" i="5" s="1"/>
  <c r="Y61" i="6"/>
  <c r="I18" i="5" s="1"/>
  <c r="O61" i="6"/>
  <c r="K61" i="6"/>
  <c r="V60" i="6"/>
  <c r="M60" i="6" s="1"/>
  <c r="U60" i="6"/>
  <c r="O60" i="6"/>
  <c r="K60" i="6"/>
  <c r="G60" i="6"/>
  <c r="V59" i="6"/>
  <c r="U59" i="6"/>
  <c r="O59" i="6"/>
  <c r="M59" i="6"/>
  <c r="AF59" i="6" s="1"/>
  <c r="K59" i="6"/>
  <c r="G59" i="6"/>
  <c r="V58" i="6"/>
  <c r="U58" i="6"/>
  <c r="O58" i="6"/>
  <c r="M58" i="6"/>
  <c r="AF58" i="6" s="1"/>
  <c r="K58" i="6"/>
  <c r="G58" i="6"/>
  <c r="V57" i="6"/>
  <c r="U57" i="6"/>
  <c r="O57" i="6"/>
  <c r="M57" i="6"/>
  <c r="AF57" i="6" s="1"/>
  <c r="K57" i="6"/>
  <c r="G57" i="6"/>
  <c r="V56" i="6"/>
  <c r="U56" i="6"/>
  <c r="O56" i="6"/>
  <c r="M56" i="6"/>
  <c r="AF56" i="6" s="1"/>
  <c r="K56" i="6"/>
  <c r="G56" i="6"/>
  <c r="AF55" i="6"/>
  <c r="V55" i="6"/>
  <c r="U55" i="6"/>
  <c r="O55" i="6"/>
  <c r="N55" i="6"/>
  <c r="Q55" i="6" s="1"/>
  <c r="M55" i="6"/>
  <c r="AE55" i="6" s="1"/>
  <c r="K55" i="6"/>
  <c r="G55" i="6"/>
  <c r="AF54" i="6"/>
  <c r="V54" i="6"/>
  <c r="O54" i="6"/>
  <c r="N54" i="6"/>
  <c r="Q54" i="6" s="1"/>
  <c r="M54" i="6"/>
  <c r="AE54" i="6" s="1"/>
  <c r="K54" i="6"/>
  <c r="G54" i="6"/>
  <c r="AD53" i="6"/>
  <c r="Z53" i="6"/>
  <c r="Y53" i="6"/>
  <c r="O53" i="6"/>
  <c r="K53" i="6"/>
  <c r="V52" i="6"/>
  <c r="M52" i="6" s="1"/>
  <c r="U52" i="6"/>
  <c r="O52" i="6"/>
  <c r="K52" i="6"/>
  <c r="G52" i="6"/>
  <c r="AF51" i="6"/>
  <c r="AE51" i="6"/>
  <c r="X51" i="6"/>
  <c r="W51" i="6"/>
  <c r="V51" i="6"/>
  <c r="U51" i="6"/>
  <c r="O51" i="6"/>
  <c r="M51" i="6"/>
  <c r="N51" i="6" s="1"/>
  <c r="K51" i="6"/>
  <c r="G51" i="6"/>
  <c r="V50" i="6"/>
  <c r="M50" i="6" s="1"/>
  <c r="U50" i="6"/>
  <c r="O50" i="6"/>
  <c r="K50" i="6"/>
  <c r="G50" i="6"/>
  <c r="V49" i="6"/>
  <c r="M49" i="6" s="1"/>
  <c r="U49" i="6"/>
  <c r="O49" i="6"/>
  <c r="K49" i="6"/>
  <c r="G49" i="6"/>
  <c r="AF48" i="6"/>
  <c r="AE48" i="6"/>
  <c r="X48" i="6"/>
  <c r="W48" i="6"/>
  <c r="V48" i="6"/>
  <c r="O48" i="6"/>
  <c r="M48" i="6"/>
  <c r="N48" i="6" s="1"/>
  <c r="K48" i="6"/>
  <c r="G48" i="6"/>
  <c r="AD47" i="6"/>
  <c r="L21" i="5" s="1"/>
  <c r="Z47" i="6"/>
  <c r="Y47" i="6"/>
  <c r="O47" i="6"/>
  <c r="K47" i="6"/>
  <c r="V46" i="6"/>
  <c r="M46" i="6" s="1"/>
  <c r="U46" i="6"/>
  <c r="O46" i="6"/>
  <c r="K46" i="6"/>
  <c r="G46" i="6"/>
  <c r="V45" i="6"/>
  <c r="M45" i="6" s="1"/>
  <c r="U45" i="6"/>
  <c r="O45" i="6"/>
  <c r="K45" i="6"/>
  <c r="G45" i="6"/>
  <c r="V44" i="6"/>
  <c r="M44" i="6" s="1"/>
  <c r="U44" i="6"/>
  <c r="O44" i="6"/>
  <c r="K44" i="6"/>
  <c r="G44" i="6"/>
  <c r="X43" i="6"/>
  <c r="W43" i="6"/>
  <c r="V43" i="6"/>
  <c r="M43" i="6" s="1"/>
  <c r="U43" i="6"/>
  <c r="O43" i="6"/>
  <c r="K43" i="6"/>
  <c r="G43" i="6"/>
  <c r="V42" i="6"/>
  <c r="M42" i="6" s="1"/>
  <c r="U42" i="6"/>
  <c r="O42" i="6"/>
  <c r="K42" i="6"/>
  <c r="G42" i="6"/>
  <c r="V41" i="6"/>
  <c r="M41" i="6" s="1"/>
  <c r="U41" i="6"/>
  <c r="O41" i="6"/>
  <c r="K41" i="6"/>
  <c r="G41" i="6"/>
  <c r="X40" i="6"/>
  <c r="W40" i="6"/>
  <c r="V40" i="6"/>
  <c r="M40" i="6" s="1"/>
  <c r="O40" i="6"/>
  <c r="K40" i="6"/>
  <c r="G40" i="6"/>
  <c r="AD39" i="6"/>
  <c r="Z39" i="6"/>
  <c r="K19" i="5" s="1"/>
  <c r="Y39" i="6"/>
  <c r="K18" i="5" s="1"/>
  <c r="O39" i="6"/>
  <c r="K39" i="6"/>
  <c r="V38" i="6"/>
  <c r="M38" i="6" s="1"/>
  <c r="U38" i="6"/>
  <c r="O38" i="6"/>
  <c r="K38" i="6"/>
  <c r="G38" i="6"/>
  <c r="V37" i="6"/>
  <c r="M37" i="6" s="1"/>
  <c r="U37" i="6"/>
  <c r="O37" i="6"/>
  <c r="K37" i="6"/>
  <c r="G37" i="6"/>
  <c r="V36" i="6"/>
  <c r="U36" i="6"/>
  <c r="O36" i="6"/>
  <c r="M36" i="6"/>
  <c r="AF36" i="6" s="1"/>
  <c r="K36" i="6"/>
  <c r="G36" i="6"/>
  <c r="X35" i="6"/>
  <c r="W35" i="6"/>
  <c r="V35" i="6"/>
  <c r="M35" i="6" s="1"/>
  <c r="U35" i="6"/>
  <c r="O35" i="6"/>
  <c r="K35" i="6"/>
  <c r="G35" i="6"/>
  <c r="V34" i="6"/>
  <c r="U34" i="6"/>
  <c r="O34" i="6"/>
  <c r="M34" i="6"/>
  <c r="AF34" i="6" s="1"/>
  <c r="K34" i="6"/>
  <c r="G34" i="6"/>
  <c r="V33" i="6"/>
  <c r="U33" i="6"/>
  <c r="O33" i="6"/>
  <c r="M33" i="6"/>
  <c r="AF33" i="6" s="1"/>
  <c r="K33" i="6"/>
  <c r="G33" i="6"/>
  <c r="X32" i="6"/>
  <c r="W32" i="6"/>
  <c r="V32" i="6"/>
  <c r="M32" i="6" s="1"/>
  <c r="O32" i="6"/>
  <c r="K32" i="6"/>
  <c r="G32" i="6"/>
  <c r="AD31" i="6"/>
  <c r="G21" i="5" s="1"/>
  <c r="Z31" i="6"/>
  <c r="Y31" i="6"/>
  <c r="O31" i="6"/>
  <c r="K31" i="6"/>
  <c r="V30" i="6"/>
  <c r="U30" i="6"/>
  <c r="O30" i="6"/>
  <c r="M30" i="6"/>
  <c r="AF30" i="6" s="1"/>
  <c r="K30" i="6"/>
  <c r="G30" i="6"/>
  <c r="V29" i="6"/>
  <c r="U29" i="6"/>
  <c r="O29" i="6"/>
  <c r="M29" i="6"/>
  <c r="AF29" i="6" s="1"/>
  <c r="K29" i="6"/>
  <c r="G29" i="6"/>
  <c r="V28" i="6"/>
  <c r="U28" i="6"/>
  <c r="O28" i="6"/>
  <c r="M28" i="6"/>
  <c r="AF28" i="6" s="1"/>
  <c r="K28" i="6"/>
  <c r="G28" i="6"/>
  <c r="AF27" i="6"/>
  <c r="V27" i="6"/>
  <c r="U27" i="6"/>
  <c r="O27" i="6"/>
  <c r="N27" i="6"/>
  <c r="Q27" i="6" s="1"/>
  <c r="M27" i="6"/>
  <c r="AE27" i="6" s="1"/>
  <c r="K27" i="6"/>
  <c r="G27" i="6"/>
  <c r="AF26" i="6"/>
  <c r="AE26" i="6"/>
  <c r="V26" i="6"/>
  <c r="U26" i="6"/>
  <c r="O26" i="6"/>
  <c r="M26" i="6"/>
  <c r="N26" i="6" s="1"/>
  <c r="K26" i="6"/>
  <c r="G26" i="6"/>
  <c r="AF25" i="6"/>
  <c r="AE25" i="6"/>
  <c r="V25" i="6"/>
  <c r="O25" i="6"/>
  <c r="M25" i="6"/>
  <c r="M31" i="6" s="1"/>
  <c r="K25" i="6"/>
  <c r="G25" i="6"/>
  <c r="AD24" i="6"/>
  <c r="F21" i="5" s="1"/>
  <c r="Z24" i="6"/>
  <c r="Y24" i="6"/>
  <c r="O24" i="6"/>
  <c r="K24" i="6"/>
  <c r="V23" i="6"/>
  <c r="M23" i="6" s="1"/>
  <c r="U23" i="6"/>
  <c r="O23" i="6"/>
  <c r="K23" i="6"/>
  <c r="G23" i="6"/>
  <c r="X22" i="6"/>
  <c r="W22" i="6"/>
  <c r="V22" i="6"/>
  <c r="M22" i="6" s="1"/>
  <c r="U22" i="6"/>
  <c r="O22" i="6"/>
  <c r="K22" i="6"/>
  <c r="G22" i="6"/>
  <c r="V21" i="6"/>
  <c r="M21" i="6" s="1"/>
  <c r="U21" i="6"/>
  <c r="O21" i="6"/>
  <c r="K21" i="6"/>
  <c r="G21" i="6"/>
  <c r="V20" i="6"/>
  <c r="M20" i="6" s="1"/>
  <c r="U20" i="6"/>
  <c r="O20" i="6"/>
  <c r="K20" i="6"/>
  <c r="G20" i="6"/>
  <c r="V19" i="6"/>
  <c r="M19" i="6" s="1"/>
  <c r="U19" i="6"/>
  <c r="O19" i="6"/>
  <c r="K19" i="6"/>
  <c r="G19" i="6"/>
  <c r="V18" i="6"/>
  <c r="M18" i="6" s="1"/>
  <c r="U18" i="6"/>
  <c r="O18" i="6"/>
  <c r="K18" i="6"/>
  <c r="G18" i="6"/>
  <c r="V17" i="6"/>
  <c r="M17" i="6" s="1"/>
  <c r="U17" i="6"/>
  <c r="O17" i="6"/>
  <c r="K17" i="6"/>
  <c r="G17" i="6"/>
  <c r="X16" i="6"/>
  <c r="W16" i="6"/>
  <c r="V16" i="6"/>
  <c r="M16" i="6" s="1"/>
  <c r="O16" i="6"/>
  <c r="K16" i="6"/>
  <c r="G16" i="6"/>
  <c r="AD15" i="6"/>
  <c r="E21" i="5" s="1"/>
  <c r="Z15" i="6"/>
  <c r="Y15" i="6"/>
  <c r="O15" i="6"/>
  <c r="K15" i="6"/>
  <c r="V14" i="6"/>
  <c r="M14" i="6" s="1"/>
  <c r="U14" i="6"/>
  <c r="O14" i="6"/>
  <c r="K14" i="6"/>
  <c r="G14" i="6"/>
  <c r="V13" i="6"/>
  <c r="U13" i="6"/>
  <c r="O13" i="6"/>
  <c r="M13" i="6"/>
  <c r="AF13" i="6" s="1"/>
  <c r="K13" i="6"/>
  <c r="G13" i="6"/>
  <c r="X12" i="6"/>
  <c r="W12" i="6"/>
  <c r="V12" i="6"/>
  <c r="M12" i="6" s="1"/>
  <c r="U12" i="6"/>
  <c r="O12" i="6"/>
  <c r="K12" i="6"/>
  <c r="G12" i="6"/>
  <c r="V11" i="6"/>
  <c r="M11" i="6" s="1"/>
  <c r="O11" i="6"/>
  <c r="N11" i="6"/>
  <c r="K11" i="6"/>
  <c r="G11" i="6"/>
  <c r="AD10" i="6"/>
  <c r="AD2" i="6" s="1"/>
  <c r="N6" i="5" s="1"/>
  <c r="Z10" i="6"/>
  <c r="D19" i="5" s="1"/>
  <c r="Y10" i="6"/>
  <c r="Y2" i="6" s="1"/>
  <c r="O10" i="6"/>
  <c r="K10" i="6"/>
  <c r="V9" i="6"/>
  <c r="U9" i="6"/>
  <c r="O9" i="6"/>
  <c r="M9" i="6"/>
  <c r="AF9" i="6" s="1"/>
  <c r="K9" i="6"/>
  <c r="G9" i="6"/>
  <c r="X8" i="6"/>
  <c r="W8" i="6"/>
  <c r="V8" i="6"/>
  <c r="U8" i="6"/>
  <c r="O8" i="6"/>
  <c r="M8" i="6"/>
  <c r="K8" i="6"/>
  <c r="G8" i="6"/>
  <c r="V7" i="6"/>
  <c r="U7" i="6"/>
  <c r="O7" i="6"/>
  <c r="M7" i="6"/>
  <c r="AF7" i="6" s="1"/>
  <c r="K7" i="6"/>
  <c r="G7" i="6"/>
  <c r="V6" i="6"/>
  <c r="U6" i="6"/>
  <c r="O6" i="6"/>
  <c r="M6" i="6"/>
  <c r="AF6" i="6" s="1"/>
  <c r="K6" i="6"/>
  <c r="G6" i="6"/>
  <c r="V5" i="6"/>
  <c r="O5" i="6"/>
  <c r="M5" i="6"/>
  <c r="K5" i="6"/>
  <c r="G5" i="6"/>
  <c r="F1" i="6" s="1"/>
  <c r="F2" i="6" s="1"/>
  <c r="H2" i="6"/>
  <c r="H1" i="6"/>
  <c r="D1" i="6"/>
  <c r="M22" i="5"/>
  <c r="L22" i="5"/>
  <c r="K22" i="5"/>
  <c r="J22" i="5"/>
  <c r="I22" i="5"/>
  <c r="H22" i="5"/>
  <c r="G22" i="5"/>
  <c r="F22" i="5"/>
  <c r="E22" i="5"/>
  <c r="D22" i="5"/>
  <c r="M21" i="5"/>
  <c r="K21" i="5"/>
  <c r="J21" i="5"/>
  <c r="I21" i="5"/>
  <c r="H21" i="5"/>
  <c r="M20" i="5"/>
  <c r="L20" i="5"/>
  <c r="K20" i="5"/>
  <c r="J20" i="5"/>
  <c r="I20" i="5"/>
  <c r="H20" i="5"/>
  <c r="G20" i="5"/>
  <c r="F20" i="5"/>
  <c r="E20" i="5"/>
  <c r="D20" i="5"/>
  <c r="M19" i="5"/>
  <c r="L19" i="5"/>
  <c r="J19" i="5"/>
  <c r="H19" i="5"/>
  <c r="G19" i="5"/>
  <c r="F19" i="5"/>
  <c r="E19" i="5"/>
  <c r="L18" i="5"/>
  <c r="J18" i="5"/>
  <c r="H18" i="5"/>
  <c r="G18" i="5"/>
  <c r="F18" i="5"/>
  <c r="E18" i="5"/>
  <c r="D18" i="5"/>
  <c r="M17" i="5"/>
  <c r="L17" i="5"/>
  <c r="K17" i="5"/>
  <c r="J17" i="5"/>
  <c r="I17" i="5"/>
  <c r="H17" i="5"/>
  <c r="G17" i="5"/>
  <c r="F17" i="5"/>
  <c r="E17" i="5"/>
  <c r="D17" i="5"/>
  <c r="M16" i="5"/>
  <c r="L16" i="5"/>
  <c r="K16" i="5"/>
  <c r="J16" i="5"/>
  <c r="I16" i="5"/>
  <c r="H16" i="5"/>
  <c r="G16" i="5"/>
  <c r="F16" i="5"/>
  <c r="E16" i="5"/>
  <c r="D16" i="5"/>
  <c r="M13" i="5"/>
  <c r="L13" i="5"/>
  <c r="K13" i="5"/>
  <c r="I6" i="5" s="1"/>
  <c r="J13" i="5"/>
  <c r="I13" i="5"/>
  <c r="H13" i="5"/>
  <c r="G6" i="5" s="1"/>
  <c r="G13" i="5"/>
  <c r="F13" i="5"/>
  <c r="E13" i="5"/>
  <c r="D13" i="5"/>
  <c r="F6" i="5" s="1"/>
  <c r="M6" i="5"/>
  <c r="K6" i="5"/>
  <c r="I3" i="5"/>
  <c r="F3" i="5"/>
  <c r="C3" i="5"/>
  <c r="F8" i="13" l="1"/>
  <c r="G8" i="13"/>
  <c r="E8" i="13"/>
  <c r="K15" i="11"/>
  <c r="I8" i="11" s="1"/>
  <c r="I7" i="11"/>
  <c r="D15" i="11"/>
  <c r="G7" i="11"/>
  <c r="F7" i="11"/>
  <c r="E7" i="11"/>
  <c r="P69" i="8"/>
  <c r="Q69" i="8"/>
  <c r="R64" i="8" s="1"/>
  <c r="M14" i="7"/>
  <c r="M15" i="7" s="1"/>
  <c r="P17" i="8"/>
  <c r="Q17" i="8"/>
  <c r="AE63" i="8"/>
  <c r="N63" i="8"/>
  <c r="AF63" i="8"/>
  <c r="AG57" i="8" s="1"/>
  <c r="P24" i="8"/>
  <c r="Q24" i="8"/>
  <c r="P52" i="8"/>
  <c r="Q52" i="8"/>
  <c r="Q41" i="8"/>
  <c r="P41" i="8"/>
  <c r="Q29" i="8"/>
  <c r="P29" i="8"/>
  <c r="P22" i="8"/>
  <c r="Q22" i="8"/>
  <c r="Q57" i="8"/>
  <c r="P57" i="8"/>
  <c r="P59" i="8"/>
  <c r="Q59" i="8"/>
  <c r="Q60" i="8"/>
  <c r="P60" i="8"/>
  <c r="Q8" i="8"/>
  <c r="P8" i="8"/>
  <c r="Q19" i="8"/>
  <c r="P19" i="8"/>
  <c r="P50" i="8"/>
  <c r="Q50" i="8"/>
  <c r="Q44" i="8"/>
  <c r="P44" i="8"/>
  <c r="P26" i="8"/>
  <c r="Q26" i="8"/>
  <c r="P42" i="8"/>
  <c r="Q42" i="8"/>
  <c r="Q13" i="8"/>
  <c r="P13" i="8"/>
  <c r="Q39" i="8"/>
  <c r="P39" i="8"/>
  <c r="Q18" i="8"/>
  <c r="P18" i="8"/>
  <c r="AF36" i="8"/>
  <c r="AG29" i="8" s="1"/>
  <c r="AE36" i="8"/>
  <c r="N36" i="8"/>
  <c r="Q51" i="8"/>
  <c r="P51" i="8"/>
  <c r="P37" i="8"/>
  <c r="Q37" i="8"/>
  <c r="Q38" i="8"/>
  <c r="P38" i="8"/>
  <c r="Q32" i="8"/>
  <c r="P32" i="8"/>
  <c r="Q14" i="8"/>
  <c r="P14" i="8"/>
  <c r="Q12" i="8"/>
  <c r="P12" i="8"/>
  <c r="N10" i="8"/>
  <c r="AF10" i="8"/>
  <c r="AG5" i="8" s="1"/>
  <c r="AE10" i="8"/>
  <c r="N56" i="8"/>
  <c r="AE56" i="8"/>
  <c r="AF56" i="8"/>
  <c r="AG49" i="8" s="1"/>
  <c r="P40" i="8"/>
  <c r="Q40" i="8"/>
  <c r="Q35" i="8"/>
  <c r="P35" i="8"/>
  <c r="N43" i="8"/>
  <c r="AF43" i="8"/>
  <c r="AG37" i="8" s="1"/>
  <c r="AE43" i="8"/>
  <c r="Q46" i="8"/>
  <c r="P46" i="8"/>
  <c r="P16" i="8"/>
  <c r="Q16" i="8"/>
  <c r="Q25" i="8"/>
  <c r="P25" i="8"/>
  <c r="Q28" i="8"/>
  <c r="R22" i="8" s="1"/>
  <c r="P28" i="8"/>
  <c r="G14" i="7"/>
  <c r="G15" i="7" s="1"/>
  <c r="Q58" i="8"/>
  <c r="P58" i="8"/>
  <c r="P49" i="8"/>
  <c r="Q49" i="8"/>
  <c r="Q20" i="8"/>
  <c r="P20" i="8"/>
  <c r="P68" i="8"/>
  <c r="Q68" i="8"/>
  <c r="AF15" i="8"/>
  <c r="AG11" i="8" s="1"/>
  <c r="AE15" i="8"/>
  <c r="N15" i="8"/>
  <c r="Q47" i="8"/>
  <c r="P47" i="8"/>
  <c r="Q34" i="8"/>
  <c r="P34" i="8"/>
  <c r="P45" i="8"/>
  <c r="Q45" i="8"/>
  <c r="P66" i="8"/>
  <c r="Q66" i="8"/>
  <c r="Q11" i="8"/>
  <c r="P11" i="8"/>
  <c r="Q55" i="8"/>
  <c r="P55" i="8"/>
  <c r="N48" i="8"/>
  <c r="AF48" i="8"/>
  <c r="AG44" i="8" s="1"/>
  <c r="AE48" i="8"/>
  <c r="Q61" i="8"/>
  <c r="P61" i="8"/>
  <c r="N21" i="8"/>
  <c r="AF21" i="8"/>
  <c r="AG16" i="8" s="1"/>
  <c r="AE21" i="8"/>
  <c r="N62" i="6"/>
  <c r="AF62" i="6"/>
  <c r="AE62" i="6"/>
  <c r="M68" i="6"/>
  <c r="Q69" i="6"/>
  <c r="P69" i="6"/>
  <c r="M15" i="6"/>
  <c r="AF11" i="6"/>
  <c r="AE11" i="6"/>
  <c r="Q51" i="6"/>
  <c r="P51" i="6"/>
  <c r="N52" i="6"/>
  <c r="AF52" i="6"/>
  <c r="AE52" i="6"/>
  <c r="N40" i="6"/>
  <c r="AF40" i="6"/>
  <c r="M47" i="6"/>
  <c r="AE40" i="6"/>
  <c r="N42" i="6"/>
  <c r="AF42" i="6"/>
  <c r="AE42" i="6"/>
  <c r="N44" i="6"/>
  <c r="AF44" i="6"/>
  <c r="AE44" i="6"/>
  <c r="E6" i="5"/>
  <c r="N20" i="6"/>
  <c r="AF20" i="6"/>
  <c r="AE20" i="6"/>
  <c r="AF32" i="6"/>
  <c r="M39" i="6"/>
  <c r="AE32" i="6"/>
  <c r="N32" i="6"/>
  <c r="AF60" i="6"/>
  <c r="AE60" i="6"/>
  <c r="N60" i="6"/>
  <c r="N65" i="6"/>
  <c r="AF65" i="6"/>
  <c r="AE65" i="6"/>
  <c r="Q72" i="6"/>
  <c r="P72" i="6"/>
  <c r="N16" i="6"/>
  <c r="AF16" i="6"/>
  <c r="AE16" i="6"/>
  <c r="M24" i="6"/>
  <c r="N18" i="6"/>
  <c r="AF18" i="6"/>
  <c r="AE18" i="6"/>
  <c r="N63" i="6"/>
  <c r="AF63" i="6"/>
  <c r="AE63" i="6"/>
  <c r="AF8" i="6"/>
  <c r="AE8" i="6"/>
  <c r="N8" i="6"/>
  <c r="AF31" i="6"/>
  <c r="AG25" i="6" s="1"/>
  <c r="AE31" i="6"/>
  <c r="N31" i="6"/>
  <c r="N38" i="6"/>
  <c r="AF38" i="6"/>
  <c r="AE38" i="6"/>
  <c r="N43" i="6"/>
  <c r="AF43" i="6"/>
  <c r="AE43" i="6"/>
  <c r="N45" i="6"/>
  <c r="AF45" i="6"/>
  <c r="AE45" i="6"/>
  <c r="N49" i="6"/>
  <c r="AF49" i="6"/>
  <c r="AE49" i="6"/>
  <c r="Q11" i="6"/>
  <c r="P11" i="6"/>
  <c r="AF17" i="6"/>
  <c r="AE17" i="6"/>
  <c r="N17" i="6"/>
  <c r="N22" i="6"/>
  <c r="AF22" i="6"/>
  <c r="AE22" i="6"/>
  <c r="AF12" i="6"/>
  <c r="AE12" i="6"/>
  <c r="N12" i="6"/>
  <c r="Q48" i="6"/>
  <c r="P48" i="6"/>
  <c r="AF14" i="6"/>
  <c r="AE14" i="6"/>
  <c r="N14" i="6"/>
  <c r="N21" i="6"/>
  <c r="AF21" i="6"/>
  <c r="AE21" i="6"/>
  <c r="N23" i="6"/>
  <c r="AF23" i="6"/>
  <c r="AE23" i="6"/>
  <c r="N41" i="6"/>
  <c r="AF41" i="6"/>
  <c r="AE41" i="6"/>
  <c r="N66" i="6"/>
  <c r="AF66" i="6"/>
  <c r="AE66" i="6"/>
  <c r="Q70" i="6"/>
  <c r="P70" i="6"/>
  <c r="N19" i="6"/>
  <c r="AF19" i="6"/>
  <c r="AE19" i="6"/>
  <c r="AF35" i="6"/>
  <c r="AE35" i="6"/>
  <c r="N35" i="6"/>
  <c r="N64" i="6"/>
  <c r="AF64" i="6"/>
  <c r="AE64" i="6"/>
  <c r="M10" i="6"/>
  <c r="Q26" i="6"/>
  <c r="P26" i="6"/>
  <c r="AF37" i="6"/>
  <c r="AE37" i="6"/>
  <c r="N37" i="6"/>
  <c r="N46" i="6"/>
  <c r="AF46" i="6"/>
  <c r="AE46" i="6"/>
  <c r="N50" i="6"/>
  <c r="AF50" i="6"/>
  <c r="AE50" i="6"/>
  <c r="Q67" i="6"/>
  <c r="P67" i="6"/>
  <c r="N13" i="6"/>
  <c r="N34" i="6"/>
  <c r="N36" i="6"/>
  <c r="N59" i="6"/>
  <c r="N7" i="6"/>
  <c r="N9" i="6"/>
  <c r="N30" i="6"/>
  <c r="N33" i="6"/>
  <c r="N58" i="6"/>
  <c r="N5" i="6"/>
  <c r="N6" i="6"/>
  <c r="N29" i="6"/>
  <c r="N57" i="6"/>
  <c r="N74" i="6"/>
  <c r="N28" i="6"/>
  <c r="M53" i="6"/>
  <c r="N56" i="6"/>
  <c r="N25" i="6"/>
  <c r="D21" i="5"/>
  <c r="AE13" i="6"/>
  <c r="P27" i="6"/>
  <c r="AE34" i="6"/>
  <c r="AE36" i="6"/>
  <c r="P54" i="6"/>
  <c r="P55" i="6"/>
  <c r="AE59" i="6"/>
  <c r="P71" i="6"/>
  <c r="P73" i="6"/>
  <c r="AE7" i="6"/>
  <c r="AE9" i="6"/>
  <c r="AE30" i="6"/>
  <c r="AE33" i="6"/>
  <c r="AE58" i="6"/>
  <c r="AE5" i="6"/>
  <c r="AE6" i="6"/>
  <c r="AE29" i="6"/>
  <c r="AE57" i="6"/>
  <c r="M61" i="6"/>
  <c r="Z2" i="6"/>
  <c r="L6" i="5" s="1"/>
  <c r="AF5" i="6"/>
  <c r="AE28" i="6"/>
  <c r="AE56" i="6"/>
  <c r="AE74" i="6"/>
  <c r="AD64" i="4"/>
  <c r="Z64" i="4"/>
  <c r="Y64" i="4"/>
  <c r="M18" i="3" s="1"/>
  <c r="O64" i="4"/>
  <c r="K64" i="4"/>
  <c r="V63" i="4"/>
  <c r="U63" i="4"/>
  <c r="O63" i="4"/>
  <c r="M63" i="4"/>
  <c r="AE63" i="4" s="1"/>
  <c r="K63" i="4"/>
  <c r="G63" i="4"/>
  <c r="AF62" i="4"/>
  <c r="X62" i="4"/>
  <c r="W62" i="4"/>
  <c r="V62" i="4"/>
  <c r="U62" i="4"/>
  <c r="O62" i="4"/>
  <c r="M62" i="4"/>
  <c r="N62" i="4" s="1"/>
  <c r="K62" i="4"/>
  <c r="G62" i="4"/>
  <c r="V61" i="4"/>
  <c r="U61" i="4"/>
  <c r="O61" i="4"/>
  <c r="M61" i="4"/>
  <c r="AE61" i="4" s="1"/>
  <c r="K61" i="4"/>
  <c r="G61" i="4"/>
  <c r="AF60" i="4"/>
  <c r="V60" i="4"/>
  <c r="U60" i="4"/>
  <c r="O60" i="4"/>
  <c r="M60" i="4"/>
  <c r="N60" i="4" s="1"/>
  <c r="K60" i="4"/>
  <c r="G60" i="4"/>
  <c r="V59" i="4"/>
  <c r="M59" i="4" s="1"/>
  <c r="U59" i="4"/>
  <c r="O59" i="4"/>
  <c r="K59" i="4"/>
  <c r="G59" i="4"/>
  <c r="AF58" i="4"/>
  <c r="AE58" i="4"/>
  <c r="X58" i="4"/>
  <c r="W58" i="4"/>
  <c r="V58" i="4"/>
  <c r="O58" i="4"/>
  <c r="M58" i="4"/>
  <c r="N58" i="4" s="1"/>
  <c r="K58" i="4"/>
  <c r="G58" i="4"/>
  <c r="AD57" i="4"/>
  <c r="Z57" i="4"/>
  <c r="Y57" i="4"/>
  <c r="O57" i="4"/>
  <c r="K57" i="4"/>
  <c r="V56" i="4"/>
  <c r="M56" i="4" s="1"/>
  <c r="U56" i="4"/>
  <c r="O56" i="4"/>
  <c r="K56" i="4"/>
  <c r="G56" i="4"/>
  <c r="V55" i="4"/>
  <c r="M55" i="4" s="1"/>
  <c r="U55" i="4"/>
  <c r="O55" i="4"/>
  <c r="K55" i="4"/>
  <c r="G55" i="4"/>
  <c r="V54" i="4"/>
  <c r="M54" i="4" s="1"/>
  <c r="U54" i="4"/>
  <c r="O54" i="4"/>
  <c r="K54" i="4"/>
  <c r="G54" i="4"/>
  <c r="V53" i="4"/>
  <c r="M53" i="4" s="1"/>
  <c r="U53" i="4"/>
  <c r="O53" i="4"/>
  <c r="K53" i="4"/>
  <c r="G53" i="4"/>
  <c r="V52" i="4"/>
  <c r="M52" i="4" s="1"/>
  <c r="U52" i="4"/>
  <c r="O52" i="4"/>
  <c r="K52" i="4"/>
  <c r="G52" i="4"/>
  <c r="V51" i="4"/>
  <c r="M51" i="4" s="1"/>
  <c r="O51" i="4"/>
  <c r="K51" i="4"/>
  <c r="G51" i="4"/>
  <c r="AD50" i="4"/>
  <c r="I21" i="3" s="1"/>
  <c r="Z50" i="4"/>
  <c r="Y50" i="4"/>
  <c r="I18" i="3" s="1"/>
  <c r="O50" i="4"/>
  <c r="K50" i="4"/>
  <c r="AE49" i="4"/>
  <c r="V49" i="4"/>
  <c r="U49" i="4"/>
  <c r="O49" i="4"/>
  <c r="N49" i="4"/>
  <c r="Q49" i="4" s="1"/>
  <c r="M49" i="4"/>
  <c r="AF49" i="4" s="1"/>
  <c r="K49" i="4"/>
  <c r="G49" i="4"/>
  <c r="V48" i="4"/>
  <c r="U48" i="4"/>
  <c r="O48" i="4"/>
  <c r="N48" i="4"/>
  <c r="Q48" i="4" s="1"/>
  <c r="M48" i="4"/>
  <c r="AF48" i="4" s="1"/>
  <c r="K48" i="4"/>
  <c r="G48" i="4"/>
  <c r="V47" i="4"/>
  <c r="U47" i="4"/>
  <c r="O47" i="4"/>
  <c r="M47" i="4"/>
  <c r="AF47" i="4" s="1"/>
  <c r="K47" i="4"/>
  <c r="G47" i="4"/>
  <c r="V46" i="4"/>
  <c r="U46" i="4"/>
  <c r="O46" i="4"/>
  <c r="M46" i="4"/>
  <c r="AF46" i="4" s="1"/>
  <c r="K46" i="4"/>
  <c r="G46" i="4"/>
  <c r="V45" i="4"/>
  <c r="U45" i="4"/>
  <c r="O45" i="4"/>
  <c r="M45" i="4"/>
  <c r="AE45" i="4" s="1"/>
  <c r="K45" i="4"/>
  <c r="G45" i="4"/>
  <c r="V44" i="4"/>
  <c r="O44" i="4"/>
  <c r="M44" i="4"/>
  <c r="AE44" i="4" s="1"/>
  <c r="K44" i="4"/>
  <c r="G44" i="4"/>
  <c r="AD43" i="4"/>
  <c r="Z43" i="4"/>
  <c r="Y43" i="4"/>
  <c r="O43" i="4"/>
  <c r="K43" i="4"/>
  <c r="V42" i="4"/>
  <c r="M42" i="4" s="1"/>
  <c r="U42" i="4"/>
  <c r="O42" i="4"/>
  <c r="K42" i="4"/>
  <c r="G42" i="4"/>
  <c r="V41" i="4"/>
  <c r="M41" i="4" s="1"/>
  <c r="U41" i="4"/>
  <c r="O41" i="4"/>
  <c r="K41" i="4"/>
  <c r="G41" i="4"/>
  <c r="V40" i="4"/>
  <c r="M40" i="4" s="1"/>
  <c r="U40" i="4"/>
  <c r="O40" i="4"/>
  <c r="K40" i="4"/>
  <c r="G40" i="4"/>
  <c r="X39" i="4"/>
  <c r="W39" i="4"/>
  <c r="V39" i="4"/>
  <c r="M39" i="4" s="1"/>
  <c r="O39" i="4"/>
  <c r="K39" i="4"/>
  <c r="G39" i="4"/>
  <c r="AD38" i="4"/>
  <c r="L21" i="3" s="1"/>
  <c r="Z38" i="4"/>
  <c r="Y38" i="4"/>
  <c r="O38" i="4"/>
  <c r="K38" i="4"/>
  <c r="V37" i="4"/>
  <c r="M37" i="4" s="1"/>
  <c r="U37" i="4"/>
  <c r="O37" i="4"/>
  <c r="K37" i="4"/>
  <c r="G37" i="4"/>
  <c r="X36" i="4"/>
  <c r="W36" i="4"/>
  <c r="V36" i="4"/>
  <c r="M36" i="4" s="1"/>
  <c r="U36" i="4"/>
  <c r="O36" i="4"/>
  <c r="K36" i="4"/>
  <c r="G36" i="4"/>
  <c r="V35" i="4"/>
  <c r="M35" i="4" s="1"/>
  <c r="U35" i="4"/>
  <c r="O35" i="4"/>
  <c r="K35" i="4"/>
  <c r="G35" i="4"/>
  <c r="V34" i="4"/>
  <c r="M34" i="4" s="1"/>
  <c r="U34" i="4"/>
  <c r="O34" i="4"/>
  <c r="K34" i="4"/>
  <c r="G34" i="4"/>
  <c r="V33" i="4"/>
  <c r="M33" i="4" s="1"/>
  <c r="U33" i="4"/>
  <c r="O33" i="4"/>
  <c r="K33" i="4"/>
  <c r="G33" i="4"/>
  <c r="X32" i="4"/>
  <c r="W32" i="4"/>
  <c r="V32" i="4"/>
  <c r="M32" i="4" s="1"/>
  <c r="O32" i="4"/>
  <c r="K32" i="4"/>
  <c r="G32" i="4"/>
  <c r="AD31" i="4"/>
  <c r="Z31" i="4"/>
  <c r="K19" i="3" s="1"/>
  <c r="Y31" i="4"/>
  <c r="K18" i="3" s="1"/>
  <c r="O31" i="4"/>
  <c r="K31" i="4"/>
  <c r="V30" i="4"/>
  <c r="M30" i="4" s="1"/>
  <c r="U30" i="4"/>
  <c r="O30" i="4"/>
  <c r="K30" i="4"/>
  <c r="G30" i="4"/>
  <c r="X29" i="4"/>
  <c r="W29" i="4"/>
  <c r="V29" i="4"/>
  <c r="M29" i="4" s="1"/>
  <c r="U29" i="4"/>
  <c r="O29" i="4"/>
  <c r="K29" i="4"/>
  <c r="G29" i="4"/>
  <c r="V28" i="4"/>
  <c r="M28" i="4" s="1"/>
  <c r="U28" i="4"/>
  <c r="O28" i="4"/>
  <c r="K28" i="4"/>
  <c r="G28" i="4"/>
  <c r="V27" i="4"/>
  <c r="M27" i="4" s="1"/>
  <c r="U27" i="4"/>
  <c r="O27" i="4"/>
  <c r="K27" i="4"/>
  <c r="G27" i="4"/>
  <c r="X26" i="4"/>
  <c r="W26" i="4"/>
  <c r="V26" i="4"/>
  <c r="M26" i="4" s="1"/>
  <c r="O26" i="4"/>
  <c r="K26" i="4"/>
  <c r="G26" i="4"/>
  <c r="AD25" i="4"/>
  <c r="G21" i="3" s="1"/>
  <c r="Z25" i="4"/>
  <c r="Y25" i="4"/>
  <c r="G18" i="3" s="1"/>
  <c r="O25" i="4"/>
  <c r="K25" i="4"/>
  <c r="V24" i="4"/>
  <c r="M24" i="4" s="1"/>
  <c r="U24" i="4"/>
  <c r="O24" i="4"/>
  <c r="K24" i="4"/>
  <c r="G24" i="4"/>
  <c r="AE23" i="4"/>
  <c r="V23" i="4"/>
  <c r="U23" i="4"/>
  <c r="O23" i="4"/>
  <c r="N23" i="4"/>
  <c r="Q23" i="4" s="1"/>
  <c r="M23" i="4"/>
  <c r="AF23" i="4" s="1"/>
  <c r="K23" i="4"/>
  <c r="G23" i="4"/>
  <c r="V22" i="4"/>
  <c r="U22" i="4"/>
  <c r="O22" i="4"/>
  <c r="N22" i="4"/>
  <c r="Q22" i="4" s="1"/>
  <c r="M22" i="4"/>
  <c r="AF22" i="4" s="1"/>
  <c r="K22" i="4"/>
  <c r="G22" i="4"/>
  <c r="V21" i="4"/>
  <c r="U21" i="4"/>
  <c r="O21" i="4"/>
  <c r="M21" i="4"/>
  <c r="AF21" i="4" s="1"/>
  <c r="K21" i="4"/>
  <c r="G21" i="4"/>
  <c r="V20" i="4"/>
  <c r="U20" i="4"/>
  <c r="O20" i="4"/>
  <c r="M20" i="4"/>
  <c r="AF20" i="4" s="1"/>
  <c r="K20" i="4"/>
  <c r="G20" i="4"/>
  <c r="V19" i="4"/>
  <c r="O19" i="4"/>
  <c r="M19" i="4"/>
  <c r="AF19" i="4" s="1"/>
  <c r="K19" i="4"/>
  <c r="G19" i="4"/>
  <c r="AD18" i="4"/>
  <c r="Z18" i="4"/>
  <c r="Y18" i="4"/>
  <c r="O18" i="4"/>
  <c r="K18" i="4"/>
  <c r="F13" i="3" s="1"/>
  <c r="AF17" i="4"/>
  <c r="V17" i="4"/>
  <c r="U17" i="4"/>
  <c r="O17" i="4"/>
  <c r="M17" i="4"/>
  <c r="N17" i="4" s="1"/>
  <c r="K17" i="4"/>
  <c r="G17" i="4"/>
  <c r="F1" i="4" s="1"/>
  <c r="V16" i="4"/>
  <c r="M16" i="4" s="1"/>
  <c r="U16" i="4"/>
  <c r="O16" i="4"/>
  <c r="K16" i="4"/>
  <c r="G16" i="4"/>
  <c r="V15" i="4"/>
  <c r="M15" i="4" s="1"/>
  <c r="U15" i="4"/>
  <c r="O15" i="4"/>
  <c r="K15" i="4"/>
  <c r="G15" i="4"/>
  <c r="V14" i="4"/>
  <c r="M14" i="4" s="1"/>
  <c r="U14" i="4"/>
  <c r="O14" i="4"/>
  <c r="K14" i="4"/>
  <c r="G14" i="4"/>
  <c r="V13" i="4"/>
  <c r="M13" i="4" s="1"/>
  <c r="O13" i="4"/>
  <c r="K13" i="4"/>
  <c r="G13" i="4"/>
  <c r="AD12" i="4"/>
  <c r="E21" i="3" s="1"/>
  <c r="Z12" i="4"/>
  <c r="E19" i="3" s="1"/>
  <c r="Y12" i="4"/>
  <c r="O12" i="4"/>
  <c r="K12" i="4"/>
  <c r="V11" i="4"/>
  <c r="M11" i="4" s="1"/>
  <c r="U11" i="4"/>
  <c r="O11" i="4"/>
  <c r="K11" i="4"/>
  <c r="G11" i="4"/>
  <c r="V10" i="4"/>
  <c r="M10" i="4" s="1"/>
  <c r="O10" i="4"/>
  <c r="K10" i="4"/>
  <c r="G10" i="4"/>
  <c r="AD9" i="4"/>
  <c r="AD2" i="4" s="1"/>
  <c r="N6" i="3" s="1"/>
  <c r="Z9" i="4"/>
  <c r="D19" i="3" s="1"/>
  <c r="Y9" i="4"/>
  <c r="Y2" i="4" s="1"/>
  <c r="K6" i="3" s="1"/>
  <c r="O9" i="4"/>
  <c r="K9" i="4"/>
  <c r="AE8" i="4"/>
  <c r="V8" i="4"/>
  <c r="U8" i="4"/>
  <c r="O8" i="4"/>
  <c r="N8" i="4"/>
  <c r="Q8" i="4" s="1"/>
  <c r="M8" i="4"/>
  <c r="AF8" i="4" s="1"/>
  <c r="K8" i="4"/>
  <c r="G8" i="4"/>
  <c r="V7" i="4"/>
  <c r="U7" i="4"/>
  <c r="O7" i="4"/>
  <c r="N7" i="4"/>
  <c r="Q7" i="4" s="1"/>
  <c r="M7" i="4"/>
  <c r="AF7" i="4" s="1"/>
  <c r="K7" i="4"/>
  <c r="G7" i="4"/>
  <c r="V6" i="4"/>
  <c r="U6" i="4"/>
  <c r="O6" i="4"/>
  <c r="M6" i="4"/>
  <c r="AF6" i="4" s="1"/>
  <c r="K6" i="4"/>
  <c r="G6" i="4"/>
  <c r="V5" i="4"/>
  <c r="O5" i="4"/>
  <c r="M5" i="4"/>
  <c r="M9" i="4" s="1"/>
  <c r="K5" i="4"/>
  <c r="G5" i="4"/>
  <c r="H2" i="4"/>
  <c r="H1" i="4"/>
  <c r="D1" i="4"/>
  <c r="M22" i="3"/>
  <c r="L22" i="3"/>
  <c r="K22" i="3"/>
  <c r="J22" i="3"/>
  <c r="I22" i="3"/>
  <c r="H22" i="3"/>
  <c r="G22" i="3"/>
  <c r="F22" i="3"/>
  <c r="E22" i="3"/>
  <c r="D22" i="3"/>
  <c r="M21" i="3"/>
  <c r="K21" i="3"/>
  <c r="J21" i="3"/>
  <c r="H21" i="3"/>
  <c r="F21" i="3"/>
  <c r="M20" i="3"/>
  <c r="L20" i="3"/>
  <c r="K20" i="3"/>
  <c r="J20" i="3"/>
  <c r="I20" i="3"/>
  <c r="H20" i="3"/>
  <c r="G20" i="3"/>
  <c r="F20" i="3"/>
  <c r="E20" i="3"/>
  <c r="D20" i="3"/>
  <c r="M19" i="3"/>
  <c r="L19" i="3"/>
  <c r="J19" i="3"/>
  <c r="I19" i="3"/>
  <c r="H19" i="3"/>
  <c r="G19" i="3"/>
  <c r="F19" i="3"/>
  <c r="L18" i="3"/>
  <c r="J18" i="3"/>
  <c r="H18" i="3"/>
  <c r="F18" i="3"/>
  <c r="E18" i="3"/>
  <c r="D18" i="3"/>
  <c r="M17" i="3"/>
  <c r="L17" i="3"/>
  <c r="K17" i="3"/>
  <c r="J17" i="3"/>
  <c r="I17" i="3"/>
  <c r="H17" i="3"/>
  <c r="G17" i="3"/>
  <c r="F17" i="3"/>
  <c r="E17" i="3"/>
  <c r="D17" i="3"/>
  <c r="M16" i="3"/>
  <c r="L16" i="3"/>
  <c r="K16" i="3"/>
  <c r="J16" i="3"/>
  <c r="I16" i="3"/>
  <c r="H16" i="3"/>
  <c r="G16" i="3"/>
  <c r="F16" i="3"/>
  <c r="E16" i="3"/>
  <c r="D16" i="3"/>
  <c r="M13" i="3"/>
  <c r="L13" i="3"/>
  <c r="K13" i="3"/>
  <c r="I6" i="3" s="1"/>
  <c r="J13" i="3"/>
  <c r="I13" i="3"/>
  <c r="H13" i="3"/>
  <c r="G13" i="3"/>
  <c r="E13" i="3"/>
  <c r="D13" i="3"/>
  <c r="M6" i="3"/>
  <c r="F3" i="3"/>
  <c r="C3" i="3"/>
  <c r="G8" i="11" l="1"/>
  <c r="F8" i="11"/>
  <c r="E8" i="11"/>
  <c r="D14" i="7"/>
  <c r="D2" i="8"/>
  <c r="Q10" i="8"/>
  <c r="R5" i="8" s="1"/>
  <c r="P10" i="8"/>
  <c r="P36" i="8"/>
  <c r="K14" i="7"/>
  <c r="Q36" i="8"/>
  <c r="R29" i="8" s="1"/>
  <c r="Q63" i="8"/>
  <c r="R57" i="8" s="1"/>
  <c r="P63" i="8"/>
  <c r="J14" i="7"/>
  <c r="J15" i="7" s="1"/>
  <c r="Q43" i="8"/>
  <c r="R37" i="8" s="1"/>
  <c r="L14" i="7"/>
  <c r="L15" i="7" s="1"/>
  <c r="P43" i="8"/>
  <c r="P48" i="8"/>
  <c r="Q48" i="8"/>
  <c r="R44" i="8" s="1"/>
  <c r="H14" i="7"/>
  <c r="H15" i="7" s="1"/>
  <c r="P15" i="8"/>
  <c r="E14" i="7"/>
  <c r="E15" i="7" s="1"/>
  <c r="Q15" i="8"/>
  <c r="R11" i="8" s="1"/>
  <c r="P21" i="8"/>
  <c r="F14" i="7"/>
  <c r="F15" i="7" s="1"/>
  <c r="Q21" i="8"/>
  <c r="R16" i="8" s="1"/>
  <c r="Q56" i="8"/>
  <c r="R49" i="8" s="1"/>
  <c r="I14" i="7"/>
  <c r="I15" i="7" s="1"/>
  <c r="P56" i="8"/>
  <c r="Q6" i="6"/>
  <c r="P6" i="6"/>
  <c r="AF10" i="6"/>
  <c r="AG5" i="6" s="1"/>
  <c r="AE10" i="6"/>
  <c r="N10" i="6"/>
  <c r="Q14" i="6"/>
  <c r="P14" i="6"/>
  <c r="P43" i="6"/>
  <c r="Q43" i="6"/>
  <c r="Q63" i="6"/>
  <c r="P63" i="6"/>
  <c r="Q65" i="6"/>
  <c r="P65" i="6"/>
  <c r="Q52" i="6"/>
  <c r="P52" i="6"/>
  <c r="Q5" i="6"/>
  <c r="P5" i="6"/>
  <c r="Q60" i="6"/>
  <c r="P60" i="6"/>
  <c r="Q8" i="6"/>
  <c r="P8" i="6"/>
  <c r="N47" i="6"/>
  <c r="AF47" i="6"/>
  <c r="AG40" i="6" s="1"/>
  <c r="AE47" i="6"/>
  <c r="Q58" i="6"/>
  <c r="P58" i="6"/>
  <c r="Q66" i="6"/>
  <c r="P66" i="6"/>
  <c r="Q18" i="6"/>
  <c r="P18" i="6"/>
  <c r="Q44" i="6"/>
  <c r="P44" i="6"/>
  <c r="Q33" i="6"/>
  <c r="P33" i="6"/>
  <c r="Q50" i="6"/>
  <c r="P50" i="6"/>
  <c r="P64" i="6"/>
  <c r="Q64" i="6"/>
  <c r="Q38" i="6"/>
  <c r="P38" i="6"/>
  <c r="Q30" i="6"/>
  <c r="P30" i="6"/>
  <c r="Q31" i="6"/>
  <c r="R25" i="6" s="1"/>
  <c r="P31" i="6"/>
  <c r="G14" i="5"/>
  <c r="G15" i="5" s="1"/>
  <c r="N24" i="6"/>
  <c r="AF24" i="6"/>
  <c r="AG16" i="6" s="1"/>
  <c r="AE24" i="6"/>
  <c r="Q32" i="6"/>
  <c r="P32" i="6"/>
  <c r="Q25" i="6"/>
  <c r="P25" i="6"/>
  <c r="Q12" i="6"/>
  <c r="P12" i="6"/>
  <c r="N15" i="6"/>
  <c r="AF15" i="6"/>
  <c r="AG11" i="6" s="1"/>
  <c r="AE15" i="6"/>
  <c r="Q56" i="6"/>
  <c r="P56" i="6"/>
  <c r="Q46" i="6"/>
  <c r="P46" i="6"/>
  <c r="Q49" i="6"/>
  <c r="P49" i="6"/>
  <c r="N53" i="6"/>
  <c r="AF53" i="6"/>
  <c r="AG48" i="6" s="1"/>
  <c r="AE53" i="6"/>
  <c r="Q59" i="6"/>
  <c r="P59" i="6"/>
  <c r="Q37" i="6"/>
  <c r="P37" i="6"/>
  <c r="Q16" i="6"/>
  <c r="P16" i="6"/>
  <c r="Q36" i="6"/>
  <c r="P36" i="6"/>
  <c r="AE68" i="6"/>
  <c r="N68" i="6"/>
  <c r="AF68" i="6"/>
  <c r="AG62" i="6" s="1"/>
  <c r="P45" i="6"/>
  <c r="Q45" i="6"/>
  <c r="Q35" i="6"/>
  <c r="P35" i="6"/>
  <c r="Q9" i="6"/>
  <c r="P9" i="6"/>
  <c r="Q41" i="6"/>
  <c r="P41" i="6"/>
  <c r="Q42" i="6"/>
  <c r="P42" i="6"/>
  <c r="Q7" i="6"/>
  <c r="P7" i="6"/>
  <c r="N39" i="6"/>
  <c r="AF39" i="6"/>
  <c r="AG32" i="6" s="1"/>
  <c r="AE39" i="6"/>
  <c r="Q28" i="6"/>
  <c r="P28" i="6"/>
  <c r="Q23" i="6"/>
  <c r="P23" i="6"/>
  <c r="N61" i="6"/>
  <c r="AF61" i="6"/>
  <c r="AG54" i="6" s="1"/>
  <c r="AE61" i="6"/>
  <c r="Q74" i="6"/>
  <c r="R69" i="6" s="1"/>
  <c r="P74" i="6"/>
  <c r="M14" i="5"/>
  <c r="M15" i="5" s="1"/>
  <c r="Q34" i="6"/>
  <c r="P34" i="6"/>
  <c r="Q19" i="6"/>
  <c r="P19" i="6"/>
  <c r="P40" i="6"/>
  <c r="Q40" i="6"/>
  <c r="Q57" i="6"/>
  <c r="P57" i="6"/>
  <c r="Q13" i="6"/>
  <c r="P13" i="6"/>
  <c r="Q22" i="6"/>
  <c r="P22" i="6"/>
  <c r="P20" i="6"/>
  <c r="Q20" i="6"/>
  <c r="Q29" i="6"/>
  <c r="P29" i="6"/>
  <c r="Q21" i="6"/>
  <c r="P21" i="6"/>
  <c r="Q17" i="6"/>
  <c r="P17" i="6"/>
  <c r="Q62" i="6"/>
  <c r="P62" i="6"/>
  <c r="F2" i="4"/>
  <c r="I3" i="3"/>
  <c r="AF24" i="4"/>
  <c r="AE24" i="4"/>
  <c r="N24" i="4"/>
  <c r="N33" i="4"/>
  <c r="AF33" i="4"/>
  <c r="AE33" i="4"/>
  <c r="N42" i="4"/>
  <c r="AE42" i="4"/>
  <c r="AF42" i="4"/>
  <c r="N55" i="4"/>
  <c r="AF55" i="4"/>
  <c r="AE55" i="4"/>
  <c r="N59" i="4"/>
  <c r="AE59" i="4"/>
  <c r="M64" i="4"/>
  <c r="AF59" i="4"/>
  <c r="N37" i="4"/>
  <c r="AF37" i="4"/>
  <c r="AE37" i="4"/>
  <c r="N14" i="4"/>
  <c r="AF14" i="4"/>
  <c r="AE14" i="4"/>
  <c r="N40" i="4"/>
  <c r="AF40" i="4"/>
  <c r="AE40" i="4"/>
  <c r="N53" i="4"/>
  <c r="AF53" i="4"/>
  <c r="AE53" i="4"/>
  <c r="Q60" i="4"/>
  <c r="P60" i="4"/>
  <c r="N16" i="4"/>
  <c r="AE16" i="4"/>
  <c r="AF16" i="4"/>
  <c r="N11" i="4"/>
  <c r="AF11" i="4"/>
  <c r="AE11" i="4"/>
  <c r="N35" i="4"/>
  <c r="AF35" i="4"/>
  <c r="AE35" i="4"/>
  <c r="Q17" i="4"/>
  <c r="P17" i="4"/>
  <c r="N29" i="4"/>
  <c r="AF29" i="4"/>
  <c r="AE29" i="4"/>
  <c r="Q58" i="4"/>
  <c r="P58" i="4"/>
  <c r="N51" i="4"/>
  <c r="AF51" i="4"/>
  <c r="AE51" i="4"/>
  <c r="M57" i="4"/>
  <c r="Q62" i="4"/>
  <c r="P62" i="4"/>
  <c r="N10" i="4"/>
  <c r="M12" i="4"/>
  <c r="AF10" i="4"/>
  <c r="AE10" i="4"/>
  <c r="N15" i="4"/>
  <c r="AF15" i="4"/>
  <c r="AE15" i="4"/>
  <c r="N32" i="4"/>
  <c r="M38" i="4"/>
  <c r="AF32" i="4"/>
  <c r="AE32" i="4"/>
  <c r="N34" i="4"/>
  <c r="AF34" i="4"/>
  <c r="AE34" i="4"/>
  <c r="N56" i="4"/>
  <c r="AE56" i="4"/>
  <c r="AF56" i="4"/>
  <c r="G6" i="3"/>
  <c r="F6" i="3"/>
  <c r="E6" i="3"/>
  <c r="N39" i="4"/>
  <c r="M43" i="4"/>
  <c r="AF39" i="4"/>
  <c r="AE39" i="4"/>
  <c r="N26" i="4"/>
  <c r="M31" i="4"/>
  <c r="AF26" i="4"/>
  <c r="AE26" i="4"/>
  <c r="N28" i="4"/>
  <c r="AF28" i="4"/>
  <c r="AE28" i="4"/>
  <c r="N30" i="4"/>
  <c r="AF30" i="4"/>
  <c r="AE30" i="4"/>
  <c r="AF27" i="4"/>
  <c r="AE27" i="4"/>
  <c r="N27" i="4"/>
  <c r="N36" i="4"/>
  <c r="AF36" i="4"/>
  <c r="AE36" i="4"/>
  <c r="N13" i="4"/>
  <c r="AF13" i="4"/>
  <c r="M18" i="4"/>
  <c r="AE13" i="4"/>
  <c r="N41" i="4"/>
  <c r="AF41" i="4"/>
  <c r="AE41" i="4"/>
  <c r="N54" i="4"/>
  <c r="AF54" i="4"/>
  <c r="AE54" i="4"/>
  <c r="N9" i="4"/>
  <c r="AF9" i="4"/>
  <c r="AG5" i="4" s="1"/>
  <c r="AE9" i="4"/>
  <c r="N52" i="4"/>
  <c r="AF52" i="4"/>
  <c r="AE52" i="4"/>
  <c r="AE17" i="4"/>
  <c r="AF44" i="4"/>
  <c r="AF45" i="4"/>
  <c r="AE60" i="4"/>
  <c r="AF61" i="4"/>
  <c r="AE62" i="4"/>
  <c r="AF63" i="4"/>
  <c r="N5" i="4"/>
  <c r="N6" i="4"/>
  <c r="P8" i="4"/>
  <c r="N21" i="4"/>
  <c r="P23" i="4"/>
  <c r="N47" i="4"/>
  <c r="P49" i="4"/>
  <c r="P7" i="4"/>
  <c r="N19" i="4"/>
  <c r="N20" i="4"/>
  <c r="P22" i="4"/>
  <c r="N46" i="4"/>
  <c r="P48" i="4"/>
  <c r="N44" i="4"/>
  <c r="N45" i="4"/>
  <c r="N61" i="4"/>
  <c r="N63" i="4"/>
  <c r="D21" i="3"/>
  <c r="AE7" i="4"/>
  <c r="AE22" i="4"/>
  <c r="AE48" i="4"/>
  <c r="AE5" i="4"/>
  <c r="AE6" i="4"/>
  <c r="AE21" i="4"/>
  <c r="M25" i="4"/>
  <c r="AE47" i="4"/>
  <c r="Z2" i="4"/>
  <c r="L6" i="3" s="1"/>
  <c r="AF5" i="4"/>
  <c r="AE19" i="4"/>
  <c r="AE20" i="4"/>
  <c r="AE46" i="4"/>
  <c r="M50" i="4"/>
  <c r="M22" i="2"/>
  <c r="L22" i="2"/>
  <c r="K22" i="2"/>
  <c r="J22" i="2"/>
  <c r="I22" i="2"/>
  <c r="H22" i="2"/>
  <c r="G22" i="2"/>
  <c r="F22" i="2"/>
  <c r="E22" i="2"/>
  <c r="D22" i="2"/>
  <c r="M21" i="2"/>
  <c r="L21" i="2"/>
  <c r="K21" i="2"/>
  <c r="J21" i="2"/>
  <c r="I21" i="2"/>
  <c r="H21" i="2"/>
  <c r="G21" i="2"/>
  <c r="F21" i="2"/>
  <c r="E21" i="2"/>
  <c r="D21" i="2"/>
  <c r="M20" i="2"/>
  <c r="L20" i="2"/>
  <c r="K20" i="2"/>
  <c r="J20" i="2"/>
  <c r="I20" i="2"/>
  <c r="H20" i="2"/>
  <c r="G20" i="2"/>
  <c r="F20" i="2"/>
  <c r="E20" i="2"/>
  <c r="D20" i="2"/>
  <c r="M19" i="2"/>
  <c r="L19" i="2"/>
  <c r="K19" i="2"/>
  <c r="J19" i="2"/>
  <c r="I19" i="2"/>
  <c r="H19" i="2"/>
  <c r="G19" i="2"/>
  <c r="F19" i="2"/>
  <c r="E19" i="2"/>
  <c r="D19" i="2"/>
  <c r="M18" i="2"/>
  <c r="L18" i="2"/>
  <c r="K18" i="2"/>
  <c r="J18" i="2"/>
  <c r="I18" i="2"/>
  <c r="H18" i="2"/>
  <c r="G18" i="2"/>
  <c r="F18" i="2"/>
  <c r="E18" i="2"/>
  <c r="D18" i="2"/>
  <c r="M17" i="2"/>
  <c r="L17" i="2"/>
  <c r="K17" i="2"/>
  <c r="J17" i="2"/>
  <c r="I17" i="2"/>
  <c r="H17" i="2"/>
  <c r="G17" i="2"/>
  <c r="F17" i="2"/>
  <c r="E17" i="2"/>
  <c r="D17" i="2"/>
  <c r="M16" i="2"/>
  <c r="L16" i="2"/>
  <c r="K16" i="2"/>
  <c r="J16" i="2"/>
  <c r="I16" i="2"/>
  <c r="H16" i="2"/>
  <c r="G16" i="2"/>
  <c r="F16" i="2"/>
  <c r="E16" i="2"/>
  <c r="D16" i="2"/>
  <c r="M14" i="2"/>
  <c r="M15" i="2" s="1"/>
  <c r="L14" i="2"/>
  <c r="L15" i="2" s="1"/>
  <c r="K14" i="2"/>
  <c r="J14" i="2"/>
  <c r="I14" i="2"/>
  <c r="H14" i="2"/>
  <c r="G14" i="2"/>
  <c r="G15" i="2" s="1"/>
  <c r="F14" i="2"/>
  <c r="F15" i="2" s="1"/>
  <c r="E14" i="2"/>
  <c r="E15" i="2" s="1"/>
  <c r="D14" i="2"/>
  <c r="E7" i="2" s="1"/>
  <c r="M13" i="2"/>
  <c r="L13" i="2"/>
  <c r="K13" i="2"/>
  <c r="K15" i="2" s="1"/>
  <c r="J13" i="2"/>
  <c r="J15" i="2" s="1"/>
  <c r="I13" i="2"/>
  <c r="H13" i="2"/>
  <c r="G13" i="2"/>
  <c r="F13" i="2"/>
  <c r="E13" i="2"/>
  <c r="D13" i="2"/>
  <c r="N6" i="2"/>
  <c r="M6" i="2"/>
  <c r="L6" i="2"/>
  <c r="K6" i="2"/>
  <c r="I3" i="2"/>
  <c r="F3" i="2"/>
  <c r="C3" i="2"/>
  <c r="I15" i="2"/>
  <c r="H15" i="2"/>
  <c r="I7" i="7" l="1"/>
  <c r="K15" i="7"/>
  <c r="I8" i="7" s="1"/>
  <c r="D15" i="7"/>
  <c r="G7" i="7"/>
  <c r="F7" i="7"/>
  <c r="E7" i="7"/>
  <c r="Q24" i="6"/>
  <c r="R16" i="6" s="1"/>
  <c r="P24" i="6"/>
  <c r="F14" i="5"/>
  <c r="F15" i="5" s="1"/>
  <c r="Q47" i="6"/>
  <c r="R40" i="6" s="1"/>
  <c r="P47" i="6"/>
  <c r="L14" i="5"/>
  <c r="L15" i="5" s="1"/>
  <c r="Q15" i="6"/>
  <c r="R11" i="6" s="1"/>
  <c r="P15" i="6"/>
  <c r="E14" i="5"/>
  <c r="E15" i="5" s="1"/>
  <c r="P39" i="6"/>
  <c r="Q39" i="6"/>
  <c r="R32" i="6" s="1"/>
  <c r="K14" i="5"/>
  <c r="D2" i="6"/>
  <c r="Q10" i="6"/>
  <c r="R5" i="6" s="1"/>
  <c r="P10" i="6"/>
  <c r="D14" i="5"/>
  <c r="Q68" i="6"/>
  <c r="R62" i="6" s="1"/>
  <c r="P68" i="6"/>
  <c r="J14" i="5"/>
  <c r="J15" i="5" s="1"/>
  <c r="Q53" i="6"/>
  <c r="R48" i="6" s="1"/>
  <c r="P53" i="6"/>
  <c r="H14" i="5"/>
  <c r="H15" i="5" s="1"/>
  <c r="I14" i="5"/>
  <c r="I15" i="5" s="1"/>
  <c r="Q61" i="6"/>
  <c r="R54" i="6" s="1"/>
  <c r="P61" i="6"/>
  <c r="Q55" i="4"/>
  <c r="P55" i="4"/>
  <c r="Q44" i="4"/>
  <c r="P44" i="4"/>
  <c r="Q15" i="4"/>
  <c r="P15" i="4"/>
  <c r="P14" i="4"/>
  <c r="Q14" i="4"/>
  <c r="P13" i="4"/>
  <c r="Q13" i="4"/>
  <c r="Q27" i="4"/>
  <c r="P27" i="4"/>
  <c r="Q26" i="4"/>
  <c r="P26" i="4"/>
  <c r="P10" i="4"/>
  <c r="Q10" i="4"/>
  <c r="P37" i="4"/>
  <c r="Q37" i="4"/>
  <c r="N31" i="4"/>
  <c r="AF31" i="4"/>
  <c r="AG26" i="4" s="1"/>
  <c r="AE31" i="4"/>
  <c r="P54" i="4"/>
  <c r="Q54" i="4"/>
  <c r="P33" i="4"/>
  <c r="Q33" i="4"/>
  <c r="P52" i="4"/>
  <c r="Q52" i="4"/>
  <c r="Q5" i="4"/>
  <c r="P5" i="4"/>
  <c r="P9" i="4"/>
  <c r="D14" i="3"/>
  <c r="Q9" i="4"/>
  <c r="R5" i="4" s="1"/>
  <c r="Q56" i="4"/>
  <c r="P56" i="4"/>
  <c r="N12" i="4"/>
  <c r="AF12" i="4"/>
  <c r="AG10" i="4" s="1"/>
  <c r="AE12" i="4"/>
  <c r="Q20" i="4"/>
  <c r="P20" i="4"/>
  <c r="AF64" i="4"/>
  <c r="AG58" i="4" s="1"/>
  <c r="AE64" i="4"/>
  <c r="N64" i="4"/>
  <c r="Q24" i="4"/>
  <c r="P24" i="4"/>
  <c r="Q45" i="4"/>
  <c r="P45" i="4"/>
  <c r="Q36" i="4"/>
  <c r="P36" i="4"/>
  <c r="Q19" i="4"/>
  <c r="P19" i="4"/>
  <c r="Q34" i="4"/>
  <c r="P34" i="4"/>
  <c r="N50" i="4"/>
  <c r="AF50" i="4"/>
  <c r="AG44" i="4" s="1"/>
  <c r="AE50" i="4"/>
  <c r="N43" i="4"/>
  <c r="AF43" i="4"/>
  <c r="AG39" i="4" s="1"/>
  <c r="AE43" i="4"/>
  <c r="N57" i="4"/>
  <c r="AF57" i="4"/>
  <c r="AG51" i="4" s="1"/>
  <c r="AE57" i="4"/>
  <c r="Q53" i="4"/>
  <c r="P53" i="4"/>
  <c r="P11" i="4"/>
  <c r="Q11" i="4"/>
  <c r="Q46" i="4"/>
  <c r="P46" i="4"/>
  <c r="Q16" i="4"/>
  <c r="P16" i="4"/>
  <c r="Q41" i="4"/>
  <c r="P41" i="4"/>
  <c r="N38" i="4"/>
  <c r="AF38" i="4"/>
  <c r="AG32" i="4" s="1"/>
  <c r="AE38" i="4"/>
  <c r="P35" i="4"/>
  <c r="Q35" i="4"/>
  <c r="Q59" i="4"/>
  <c r="P59" i="4"/>
  <c r="Q6" i="4"/>
  <c r="P6" i="4"/>
  <c r="P28" i="4"/>
  <c r="Q28" i="4"/>
  <c r="N25" i="4"/>
  <c r="AF25" i="4"/>
  <c r="AG19" i="4" s="1"/>
  <c r="AE25" i="4"/>
  <c r="Q42" i="4"/>
  <c r="P42" i="4"/>
  <c r="Q29" i="4"/>
  <c r="P29" i="4"/>
  <c r="Q47" i="4"/>
  <c r="P47" i="4"/>
  <c r="P30" i="4"/>
  <c r="Q30" i="4"/>
  <c r="P32" i="4"/>
  <c r="Q32" i="4"/>
  <c r="Q39" i="4"/>
  <c r="P39" i="4"/>
  <c r="Q63" i="4"/>
  <c r="P63" i="4"/>
  <c r="Q61" i="4"/>
  <c r="P61" i="4"/>
  <c r="Q21" i="4"/>
  <c r="P21" i="4"/>
  <c r="AE18" i="4"/>
  <c r="N18" i="4"/>
  <c r="AF18" i="4"/>
  <c r="AG13" i="4" s="1"/>
  <c r="P51" i="4"/>
  <c r="Q51" i="4"/>
  <c r="P40" i="4"/>
  <c r="Q40" i="4"/>
  <c r="I8" i="2"/>
  <c r="I6" i="2"/>
  <c r="D15" i="2"/>
  <c r="E8" i="2" s="1"/>
  <c r="G8" i="2"/>
  <c r="G7" i="2"/>
  <c r="I7" i="2"/>
  <c r="F6" i="2"/>
  <c r="F7" i="2"/>
  <c r="E6" i="2"/>
  <c r="F8" i="2"/>
  <c r="G6" i="2"/>
  <c r="G8" i="7" l="1"/>
  <c r="F8" i="7"/>
  <c r="E8" i="7"/>
  <c r="K15" i="5"/>
  <c r="I8" i="5" s="1"/>
  <c r="I7" i="5"/>
  <c r="D15" i="5"/>
  <c r="G7" i="5"/>
  <c r="F7" i="5"/>
  <c r="E7" i="5"/>
  <c r="P12" i="4"/>
  <c r="E14" i="3"/>
  <c r="E15" i="3" s="1"/>
  <c r="Q12" i="4"/>
  <c r="R10" i="4" s="1"/>
  <c r="Q25" i="4"/>
  <c r="R19" i="4" s="1"/>
  <c r="G14" i="3"/>
  <c r="G15" i="3" s="1"/>
  <c r="P25" i="4"/>
  <c r="Q57" i="4"/>
  <c r="R51" i="4" s="1"/>
  <c r="P57" i="4"/>
  <c r="J14" i="3"/>
  <c r="J15" i="3" s="1"/>
  <c r="P31" i="4"/>
  <c r="K14" i="3"/>
  <c r="Q31" i="4"/>
  <c r="R26" i="4" s="1"/>
  <c r="Q64" i="4"/>
  <c r="R58" i="4" s="1"/>
  <c r="P64" i="4"/>
  <c r="M14" i="3"/>
  <c r="M15" i="3" s="1"/>
  <c r="D2" i="4"/>
  <c r="D15" i="3"/>
  <c r="Q18" i="4"/>
  <c r="R13" i="4" s="1"/>
  <c r="P18" i="4"/>
  <c r="F14" i="3"/>
  <c r="F15" i="3" s="1"/>
  <c r="Q43" i="4"/>
  <c r="R39" i="4" s="1"/>
  <c r="P43" i="4"/>
  <c r="H14" i="3"/>
  <c r="H15" i="3" s="1"/>
  <c r="P50" i="4"/>
  <c r="Q50" i="4"/>
  <c r="R44" i="4" s="1"/>
  <c r="I14" i="3"/>
  <c r="I15" i="3" s="1"/>
  <c r="Q38" i="4"/>
  <c r="R32" i="4" s="1"/>
  <c r="P38" i="4"/>
  <c r="L14" i="3"/>
  <c r="L15" i="3" s="1"/>
  <c r="U23" i="1"/>
  <c r="X29" i="1"/>
  <c r="W29" i="1"/>
  <c r="AD64" i="1"/>
  <c r="Z64" i="1"/>
  <c r="Y64" i="1"/>
  <c r="AD57" i="1"/>
  <c r="Z57" i="1"/>
  <c r="Y57" i="1"/>
  <c r="AD50" i="1"/>
  <c r="Z50" i="1"/>
  <c r="Y50" i="1"/>
  <c r="AD43" i="1"/>
  <c r="Z43" i="1"/>
  <c r="Y43" i="1"/>
  <c r="AD38" i="1"/>
  <c r="Z38" i="1"/>
  <c r="Y38" i="1"/>
  <c r="AD31" i="1"/>
  <c r="Z31" i="1"/>
  <c r="Y31" i="1"/>
  <c r="AD25" i="1"/>
  <c r="Z25" i="1"/>
  <c r="Y25" i="1"/>
  <c r="AD18" i="1"/>
  <c r="Z18" i="1"/>
  <c r="Y18" i="1"/>
  <c r="AD12" i="1"/>
  <c r="Z12" i="1"/>
  <c r="Y12" i="1"/>
  <c r="AD9" i="1"/>
  <c r="Z9" i="1"/>
  <c r="Y9" i="1"/>
  <c r="E8" i="5" l="1"/>
  <c r="G8" i="5"/>
  <c r="F8" i="5"/>
  <c r="I7" i="3"/>
  <c r="K15" i="3"/>
  <c r="I8" i="3" s="1"/>
  <c r="F7" i="3"/>
  <c r="E7" i="3"/>
  <c r="G7" i="3"/>
  <c r="G8" i="3"/>
  <c r="F8" i="3"/>
  <c r="E8" i="3"/>
  <c r="AD2" i="1"/>
  <c r="Y2" i="1"/>
  <c r="K48" i="1"/>
  <c r="O48" i="1"/>
  <c r="G20" i="1"/>
  <c r="Z2" i="1"/>
  <c r="U15" i="1"/>
  <c r="U47" i="1"/>
  <c r="G41" i="1"/>
  <c r="O55" i="1" l="1"/>
  <c r="O36" i="1"/>
  <c r="K41" i="1"/>
  <c r="O41" i="1"/>
  <c r="K16" i="1"/>
  <c r="G16" i="1"/>
  <c r="G44" i="1"/>
  <c r="K30" i="1"/>
  <c r="O24" i="1"/>
  <c r="G24" i="1"/>
  <c r="O46" i="1"/>
  <c r="G46" i="1"/>
  <c r="O30" i="1"/>
  <c r="G40" i="1"/>
  <c r="O47" i="1"/>
  <c r="G47" i="1"/>
  <c r="G49" i="1"/>
  <c r="O49" i="1"/>
  <c r="G42" i="1"/>
  <c r="O42" i="1"/>
  <c r="O17" i="1"/>
  <c r="G17" i="1"/>
  <c r="G21" i="1"/>
  <c r="G34" i="1"/>
  <c r="K55" i="1"/>
  <c r="G37" i="1"/>
  <c r="O53" i="1"/>
  <c r="G53" i="1"/>
  <c r="G60" i="1"/>
  <c r="O60" i="1"/>
  <c r="O29" i="1"/>
  <c r="G29" i="1"/>
  <c r="O7" i="1"/>
  <c r="G7" i="1"/>
  <c r="AC12" i="1"/>
  <c r="G10" i="1"/>
  <c r="G33" i="1"/>
  <c r="O33" i="1"/>
  <c r="O27" i="1"/>
  <c r="G27" i="1"/>
  <c r="G52" i="1"/>
  <c r="O52" i="1"/>
  <c r="G51" i="1"/>
  <c r="AC57" i="1"/>
  <c r="G32" i="1"/>
  <c r="AC38" i="1"/>
  <c r="AC31" i="1"/>
  <c r="G26" i="1"/>
  <c r="G6" i="1"/>
  <c r="O6" i="1"/>
  <c r="K40" i="1"/>
  <c r="G13" i="1"/>
  <c r="AC18" i="1"/>
  <c r="O59" i="1"/>
  <c r="G59" i="1"/>
  <c r="G61" i="1"/>
  <c r="O61" i="1"/>
  <c r="AC50" i="1"/>
  <c r="O45" i="1"/>
  <c r="G45" i="1"/>
  <c r="O40" i="1"/>
  <c r="O28" i="1"/>
  <c r="G28" i="1"/>
  <c r="G30" i="1"/>
  <c r="O20" i="1"/>
  <c r="G22" i="1"/>
  <c r="O22" i="1"/>
  <c r="K20" i="1"/>
  <c r="D1" i="1"/>
  <c r="O44" i="1"/>
  <c r="O16" i="1"/>
  <c r="G62" i="1"/>
  <c r="O62" i="1"/>
  <c r="O54" i="1"/>
  <c r="G54" i="1"/>
  <c r="G63" i="1"/>
  <c r="O63" i="1"/>
  <c r="AC43" i="1"/>
  <c r="O39" i="1"/>
  <c r="G39" i="1"/>
  <c r="G36" i="1"/>
  <c r="O21" i="1"/>
  <c r="O23" i="1"/>
  <c r="G23" i="1"/>
  <c r="O14" i="1"/>
  <c r="G14" i="1"/>
  <c r="O34" i="1"/>
  <c r="O37" i="1"/>
  <c r="G35" i="1"/>
  <c r="O35" i="1"/>
  <c r="AC25" i="1"/>
  <c r="G19" i="1"/>
  <c r="G11" i="1"/>
  <c r="O11" i="1"/>
  <c r="G5" i="1"/>
  <c r="AC9" i="1"/>
  <c r="G58" i="1"/>
  <c r="AC64" i="1"/>
  <c r="G48" i="1"/>
  <c r="G55" i="1"/>
  <c r="G56" i="1"/>
  <c r="O56" i="1"/>
  <c r="O8" i="1"/>
  <c r="G8" i="1"/>
  <c r="O15" i="1"/>
  <c r="G15" i="1"/>
  <c r="K36" i="1" l="1"/>
  <c r="K44" i="1"/>
  <c r="K46" i="1"/>
  <c r="K23" i="1"/>
  <c r="K24" i="1"/>
  <c r="K61" i="1"/>
  <c r="K21" i="1"/>
  <c r="K17" i="1"/>
  <c r="O25" i="1"/>
  <c r="K63" i="1"/>
  <c r="K14" i="1"/>
  <c r="K59" i="1"/>
  <c r="K8" i="1"/>
  <c r="K54" i="1"/>
  <c r="O31" i="1"/>
  <c r="O64" i="1"/>
  <c r="K62" i="1"/>
  <c r="K7" i="1"/>
  <c r="K56" i="1"/>
  <c r="K26" i="1"/>
  <c r="K29" i="1"/>
  <c r="K11" i="1"/>
  <c r="K15" i="1"/>
  <c r="K5" i="1"/>
  <c r="K35" i="1"/>
  <c r="K52" i="1"/>
  <c r="K45" i="1"/>
  <c r="K32" i="1"/>
  <c r="K10" i="1"/>
  <c r="K60" i="1"/>
  <c r="O9" i="1"/>
  <c r="AC2" i="1"/>
  <c r="K22" i="1"/>
  <c r="O26" i="1"/>
  <c r="K13" i="1"/>
  <c r="O12" i="1"/>
  <c r="O10" i="1"/>
  <c r="K49" i="1"/>
  <c r="K47" i="1"/>
  <c r="F1" i="1"/>
  <c r="F2" i="1" s="1"/>
  <c r="O18" i="1"/>
  <c r="O5" i="1"/>
  <c r="K19" i="1"/>
  <c r="H1" i="1"/>
  <c r="K42" i="1"/>
  <c r="K51" i="1"/>
  <c r="K27" i="1"/>
  <c r="K37" i="1"/>
  <c r="K34" i="1"/>
  <c r="O19" i="1"/>
  <c r="K6" i="1"/>
  <c r="O43" i="1"/>
  <c r="K28" i="1"/>
  <c r="K33" i="1"/>
  <c r="O13" i="1"/>
  <c r="K53" i="1"/>
  <c r="K58" i="1"/>
  <c r="O58" i="1"/>
  <c r="K39" i="1"/>
  <c r="O38" i="1"/>
  <c r="O32" i="1"/>
  <c r="O57" i="1"/>
  <c r="O51" i="1"/>
  <c r="K64" i="1" l="1"/>
  <c r="K50" i="1"/>
  <c r="K25" i="1"/>
  <c r="K43" i="1"/>
  <c r="O50" i="1"/>
  <c r="K31" i="1"/>
  <c r="K12" i="1"/>
  <c r="K18" i="1"/>
  <c r="K9" i="1"/>
  <c r="K57" i="1"/>
  <c r="K38" i="1"/>
  <c r="W32" i="1" l="1"/>
  <c r="V32" i="1"/>
  <c r="M32" i="1" s="1"/>
  <c r="V15" i="1"/>
  <c r="M15" i="1" s="1"/>
  <c r="AF15" i="1" l="1"/>
  <c r="AE15" i="1"/>
  <c r="N15" i="1"/>
  <c r="W26" i="1"/>
  <c r="V26" i="1"/>
  <c r="M26" i="1" s="1"/>
  <c r="U27" i="1"/>
  <c r="X26" i="1"/>
  <c r="W39" i="1"/>
  <c r="V39" i="1"/>
  <c r="M39" i="1" s="1"/>
  <c r="AF32" i="1"/>
  <c r="AE32" i="1"/>
  <c r="N32" i="1"/>
  <c r="V19" i="1"/>
  <c r="M19" i="1" s="1"/>
  <c r="U16" i="1"/>
  <c r="V44" i="1"/>
  <c r="M44" i="1" s="1"/>
  <c r="U24" i="1"/>
  <c r="V10" i="1"/>
  <c r="M10" i="1" s="1"/>
  <c r="V13" i="1"/>
  <c r="M13" i="1" s="1"/>
  <c r="U11" i="1"/>
  <c r="V51" i="1"/>
  <c r="M51" i="1" s="1"/>
  <c r="U20" i="1"/>
  <c r="V5" i="1"/>
  <c r="M5" i="1" s="1"/>
  <c r="U52" i="1" l="1"/>
  <c r="N51" i="1"/>
  <c r="AF51" i="1"/>
  <c r="AE51" i="1"/>
  <c r="V16" i="1"/>
  <c r="M16" i="1" s="1"/>
  <c r="X39" i="1"/>
  <c r="U40" i="1"/>
  <c r="N39" i="1"/>
  <c r="AF39" i="1"/>
  <c r="AE39" i="1"/>
  <c r="AE5" i="1"/>
  <c r="N5" i="1"/>
  <c r="AF5" i="1"/>
  <c r="V11" i="1"/>
  <c r="M11" i="1" s="1"/>
  <c r="AE13" i="1"/>
  <c r="N13" i="1"/>
  <c r="AF13" i="1"/>
  <c r="AF44" i="1"/>
  <c r="AE44" i="1"/>
  <c r="N44" i="1"/>
  <c r="AF26" i="1"/>
  <c r="AE26" i="1"/>
  <c r="N26" i="1"/>
  <c r="AE19" i="1"/>
  <c r="AF19" i="1"/>
  <c r="N19" i="1"/>
  <c r="Q32" i="1"/>
  <c r="P32" i="1"/>
  <c r="P15" i="1"/>
  <c r="Q15" i="1"/>
  <c r="N10" i="1"/>
  <c r="AF10" i="1"/>
  <c r="M12" i="1"/>
  <c r="AE10" i="1"/>
  <c r="W58" i="1"/>
  <c r="V58" i="1"/>
  <c r="M58" i="1" s="1"/>
  <c r="V23" i="1"/>
  <c r="M23" i="1" s="1"/>
  <c r="V27" i="1"/>
  <c r="M27" i="1" s="1"/>
  <c r="U45" i="1"/>
  <c r="U17" i="1"/>
  <c r="V40" i="1"/>
  <c r="M40" i="1" s="1"/>
  <c r="V24" i="1"/>
  <c r="M24" i="1" s="1"/>
  <c r="U14" i="1"/>
  <c r="V20" i="1"/>
  <c r="M20" i="1" s="1"/>
  <c r="U6" i="1"/>
  <c r="V28" i="1"/>
  <c r="M28" i="1" s="1"/>
  <c r="V14" i="1" l="1"/>
  <c r="M14" i="1" s="1"/>
  <c r="U28" i="1"/>
  <c r="V41" i="1"/>
  <c r="M41" i="1" s="1"/>
  <c r="V17" i="1"/>
  <c r="M17" i="1" s="1"/>
  <c r="X32" i="1"/>
  <c r="U33" i="1"/>
  <c r="P39" i="1"/>
  <c r="Q39" i="1"/>
  <c r="N40" i="1"/>
  <c r="AF40" i="1"/>
  <c r="AE40" i="1"/>
  <c r="N23" i="1"/>
  <c r="AF23" i="1"/>
  <c r="AE23" i="1"/>
  <c r="Q19" i="1"/>
  <c r="P19" i="1"/>
  <c r="P44" i="1"/>
  <c r="Q44" i="1"/>
  <c r="N24" i="1"/>
  <c r="AF24" i="1"/>
  <c r="AE24" i="1"/>
  <c r="P13" i="1"/>
  <c r="Q13" i="1"/>
  <c r="U41" i="1"/>
  <c r="AE58" i="1"/>
  <c r="AF58" i="1"/>
  <c r="N58" i="1"/>
  <c r="N16" i="1"/>
  <c r="AF16" i="1"/>
  <c r="AE16" i="1"/>
  <c r="Q26" i="1"/>
  <c r="P26" i="1"/>
  <c r="AE11" i="1"/>
  <c r="N11" i="1"/>
  <c r="AF11" i="1"/>
  <c r="N14" i="1"/>
  <c r="AE14" i="1"/>
  <c r="AF14" i="1"/>
  <c r="N27" i="1"/>
  <c r="AF27" i="1"/>
  <c r="AE27" i="1"/>
  <c r="N12" i="1"/>
  <c r="AE12" i="1"/>
  <c r="AF12" i="1"/>
  <c r="AG10" i="1" s="1"/>
  <c r="AF28" i="1"/>
  <c r="AE28" i="1"/>
  <c r="N28" i="1"/>
  <c r="Q5" i="1"/>
  <c r="P5" i="1"/>
  <c r="AF20" i="1"/>
  <c r="AE20" i="1"/>
  <c r="N20" i="1"/>
  <c r="Q10" i="1"/>
  <c r="P10" i="1"/>
  <c r="Q51" i="1"/>
  <c r="P51" i="1"/>
  <c r="V45" i="1"/>
  <c r="M45" i="1" s="1"/>
  <c r="U42" i="1"/>
  <c r="V52" i="1"/>
  <c r="M52" i="1" s="1"/>
  <c r="V33" i="1"/>
  <c r="M33" i="1" s="1"/>
  <c r="V6" i="1"/>
  <c r="M6" i="1" s="1"/>
  <c r="U29" i="1"/>
  <c r="U21" i="1"/>
  <c r="V49" i="1" l="1"/>
  <c r="M49" i="1" s="1"/>
  <c r="Q11" i="1"/>
  <c r="P11" i="1"/>
  <c r="N52" i="1"/>
  <c r="AF52" i="1"/>
  <c r="AE52" i="1"/>
  <c r="Q40" i="1"/>
  <c r="P40" i="1"/>
  <c r="P23" i="1"/>
  <c r="Q23" i="1"/>
  <c r="P12" i="1"/>
  <c r="Q12" i="1"/>
  <c r="R10" i="1" s="1"/>
  <c r="Q24" i="1"/>
  <c r="P24" i="1"/>
  <c r="Q20" i="1"/>
  <c r="P20" i="1"/>
  <c r="Q16" i="1"/>
  <c r="P16" i="1"/>
  <c r="V42" i="1"/>
  <c r="M42" i="1" s="1"/>
  <c r="N45" i="1"/>
  <c r="AF45" i="1"/>
  <c r="AE45" i="1"/>
  <c r="P27" i="1"/>
  <c r="Q27" i="1"/>
  <c r="Q58" i="1"/>
  <c r="P58" i="1"/>
  <c r="AE6" i="1"/>
  <c r="N6" i="1"/>
  <c r="AF6" i="1"/>
  <c r="AE17" i="1"/>
  <c r="AF17" i="1"/>
  <c r="N17" i="1"/>
  <c r="N41" i="1"/>
  <c r="AE41" i="1"/>
  <c r="AF41" i="1"/>
  <c r="AE49" i="1"/>
  <c r="N49" i="1"/>
  <c r="AF49" i="1"/>
  <c r="P28" i="1"/>
  <c r="Q28" i="1"/>
  <c r="Q14" i="1"/>
  <c r="P14" i="1"/>
  <c r="N33" i="1"/>
  <c r="AF33" i="1"/>
  <c r="AE33" i="1"/>
  <c r="M18" i="1"/>
  <c r="U46" i="1"/>
  <c r="U53" i="1"/>
  <c r="V21" i="1"/>
  <c r="M21" i="1" s="1"/>
  <c r="V29" i="1"/>
  <c r="M29" i="1" s="1"/>
  <c r="U7" i="1"/>
  <c r="U34" i="1"/>
  <c r="Q33" i="1" l="1"/>
  <c r="P33" i="1"/>
  <c r="P45" i="1"/>
  <c r="Q45" i="1"/>
  <c r="AF42" i="1"/>
  <c r="AE42" i="1"/>
  <c r="N42" i="1"/>
  <c r="M43" i="1"/>
  <c r="U59" i="1"/>
  <c r="X58" i="1"/>
  <c r="Q6" i="1"/>
  <c r="P6" i="1"/>
  <c r="Q49" i="1"/>
  <c r="P49" i="1"/>
  <c r="Q17" i="1"/>
  <c r="P17" i="1"/>
  <c r="AE21" i="1"/>
  <c r="AF21" i="1"/>
  <c r="N21" i="1"/>
  <c r="N18" i="1"/>
  <c r="AF18" i="1"/>
  <c r="AG13" i="1" s="1"/>
  <c r="AE18" i="1"/>
  <c r="Q52" i="1"/>
  <c r="P52" i="1"/>
  <c r="AE29" i="1"/>
  <c r="AF29" i="1"/>
  <c r="N29" i="1"/>
  <c r="P41" i="1"/>
  <c r="Q41" i="1"/>
  <c r="V59" i="1"/>
  <c r="M59" i="1" s="1"/>
  <c r="V46" i="1"/>
  <c r="M46" i="1" s="1"/>
  <c r="V53" i="1"/>
  <c r="M53" i="1" s="1"/>
  <c r="V34" i="1"/>
  <c r="M34" i="1" s="1"/>
  <c r="V7" i="1"/>
  <c r="M7" i="1" s="1"/>
  <c r="N53" i="1" l="1"/>
  <c r="AF53" i="1"/>
  <c r="AE53" i="1"/>
  <c r="Q18" i="1"/>
  <c r="R13" i="1" s="1"/>
  <c r="P18" i="1"/>
  <c r="N59" i="1"/>
  <c r="AE59" i="1"/>
  <c r="AF59" i="1"/>
  <c r="AF43" i="1"/>
  <c r="AG39" i="1" s="1"/>
  <c r="AE43" i="1"/>
  <c r="N43" i="1"/>
  <c r="P21" i="1"/>
  <c r="Q21" i="1"/>
  <c r="Q42" i="1"/>
  <c r="P42" i="1"/>
  <c r="U22" i="1"/>
  <c r="AE7" i="1"/>
  <c r="AF7" i="1"/>
  <c r="N7" i="1"/>
  <c r="N46" i="1"/>
  <c r="AE46" i="1"/>
  <c r="AF46" i="1"/>
  <c r="P29" i="1"/>
  <c r="Q29" i="1"/>
  <c r="AF34" i="1"/>
  <c r="N34" i="1"/>
  <c r="AE34" i="1"/>
  <c r="U60" i="1"/>
  <c r="U54" i="1"/>
  <c r="U35" i="1"/>
  <c r="U8" i="1"/>
  <c r="Q7" i="1" l="1"/>
  <c r="P7" i="1"/>
  <c r="Q46" i="1"/>
  <c r="P46" i="1"/>
  <c r="P59" i="1"/>
  <c r="Q59" i="1"/>
  <c r="Q34" i="1"/>
  <c r="P34" i="1"/>
  <c r="V22" i="1"/>
  <c r="M22" i="1" s="1"/>
  <c r="Q43" i="1"/>
  <c r="R39" i="1" s="1"/>
  <c r="P43" i="1"/>
  <c r="Q53" i="1"/>
  <c r="P53" i="1"/>
  <c r="V60" i="1"/>
  <c r="M60" i="1" s="1"/>
  <c r="V54" i="1"/>
  <c r="M54" i="1" s="1"/>
  <c r="V35" i="1"/>
  <c r="M35" i="1" s="1"/>
  <c r="V8" i="1"/>
  <c r="M8" i="1" s="1"/>
  <c r="U30" i="1"/>
  <c r="AE22" i="1" l="1"/>
  <c r="AF22" i="1"/>
  <c r="N22" i="1"/>
  <c r="M25" i="1"/>
  <c r="AF35" i="1"/>
  <c r="AE35" i="1"/>
  <c r="N35" i="1"/>
  <c r="N60" i="1"/>
  <c r="AF60" i="1"/>
  <c r="AE60" i="1"/>
  <c r="N54" i="1"/>
  <c r="AF54" i="1"/>
  <c r="AE54" i="1"/>
  <c r="N8" i="1"/>
  <c r="AF8" i="1"/>
  <c r="AE8" i="1"/>
  <c r="M9" i="1"/>
  <c r="U61" i="1"/>
  <c r="U55" i="1"/>
  <c r="U36" i="1"/>
  <c r="Q60" i="1" l="1"/>
  <c r="P60" i="1"/>
  <c r="Q35" i="1"/>
  <c r="P35" i="1"/>
  <c r="Q8" i="1"/>
  <c r="P8" i="1"/>
  <c r="AE9" i="1"/>
  <c r="AF9" i="1"/>
  <c r="AG5" i="1" s="1"/>
  <c r="N9" i="1"/>
  <c r="AE25" i="1"/>
  <c r="N25" i="1"/>
  <c r="AF25" i="1"/>
  <c r="AG19" i="1" s="1"/>
  <c r="Q22" i="1"/>
  <c r="P22" i="1"/>
  <c r="V30" i="1"/>
  <c r="M30" i="1" s="1"/>
  <c r="P54" i="1"/>
  <c r="Q54" i="1"/>
  <c r="V47" i="1"/>
  <c r="M47" i="1" s="1"/>
  <c r="V61" i="1"/>
  <c r="M61" i="1" s="1"/>
  <c r="V55" i="1"/>
  <c r="M55" i="1" s="1"/>
  <c r="Q9" i="1" l="1"/>
  <c r="R5" i="1" s="1"/>
  <c r="P9" i="1"/>
  <c r="N47" i="1"/>
  <c r="AF47" i="1"/>
  <c r="AE47" i="1"/>
  <c r="AF61" i="1"/>
  <c r="AE61" i="1"/>
  <c r="N61" i="1"/>
  <c r="U48" i="1"/>
  <c r="AE30" i="1"/>
  <c r="N30" i="1"/>
  <c r="AF30" i="1"/>
  <c r="M31" i="1"/>
  <c r="Q25" i="1"/>
  <c r="R19" i="1" s="1"/>
  <c r="P25" i="1"/>
  <c r="W36" i="1"/>
  <c r="V36" i="1"/>
  <c r="M36" i="1" s="1"/>
  <c r="N55" i="1"/>
  <c r="AE55" i="1"/>
  <c r="AF55" i="1"/>
  <c r="U62" i="1"/>
  <c r="U56" i="1"/>
  <c r="P30" i="1" l="1"/>
  <c r="Q30" i="1"/>
  <c r="Q47" i="1"/>
  <c r="P47" i="1"/>
  <c r="N31" i="1"/>
  <c r="AE31" i="1"/>
  <c r="AF31" i="1"/>
  <c r="AG26" i="1" s="1"/>
  <c r="P55" i="1"/>
  <c r="Q55" i="1"/>
  <c r="Q61" i="1"/>
  <c r="P61" i="1"/>
  <c r="N36" i="1"/>
  <c r="AF36" i="1"/>
  <c r="AE36" i="1"/>
  <c r="V48" i="1"/>
  <c r="M48" i="1" s="1"/>
  <c r="U49" i="1"/>
  <c r="V56" i="1" l="1"/>
  <c r="M56" i="1" s="1"/>
  <c r="Q31" i="1"/>
  <c r="R26" i="1" s="1"/>
  <c r="P31" i="1"/>
  <c r="N48" i="1"/>
  <c r="AF48" i="1"/>
  <c r="AE48" i="1"/>
  <c r="M50" i="1"/>
  <c r="Q36" i="1"/>
  <c r="P36" i="1"/>
  <c r="W62" i="1"/>
  <c r="V62" i="1"/>
  <c r="M62" i="1" s="1"/>
  <c r="N50" i="1" l="1"/>
  <c r="AF50" i="1"/>
  <c r="AG44" i="1" s="1"/>
  <c r="AE50" i="1"/>
  <c r="P48" i="1"/>
  <c r="Q48" i="1"/>
  <c r="U37" i="1"/>
  <c r="X36" i="1"/>
  <c r="N62" i="1"/>
  <c r="AF62" i="1"/>
  <c r="AE62" i="1"/>
  <c r="N56" i="1"/>
  <c r="AF56" i="1"/>
  <c r="AE56" i="1"/>
  <c r="M57" i="1"/>
  <c r="Q62" i="1" l="1"/>
  <c r="P62" i="1"/>
  <c r="V37" i="1"/>
  <c r="M37" i="1" s="1"/>
  <c r="AF57" i="1"/>
  <c r="AG51" i="1" s="1"/>
  <c r="AE57" i="1"/>
  <c r="N57" i="1"/>
  <c r="Q56" i="1"/>
  <c r="P56" i="1"/>
  <c r="Q50" i="1"/>
  <c r="R44" i="1" s="1"/>
  <c r="P50" i="1"/>
  <c r="V63" i="1" l="1"/>
  <c r="M63" i="1" s="1"/>
  <c r="Q57" i="1"/>
  <c r="R51" i="1" s="1"/>
  <c r="P57" i="1"/>
  <c r="N37" i="1"/>
  <c r="AE37" i="1"/>
  <c r="AF37" i="1"/>
  <c r="M38" i="1"/>
  <c r="X62" i="1"/>
  <c r="U63" i="1"/>
  <c r="Q37" i="1" l="1"/>
  <c r="P37" i="1"/>
  <c r="AF38" i="1"/>
  <c r="AG32" i="1" s="1"/>
  <c r="AE38" i="1"/>
  <c r="N38" i="1"/>
  <c r="N63" i="1"/>
  <c r="AF63" i="1"/>
  <c r="AE63" i="1"/>
  <c r="M64" i="1"/>
  <c r="AF64" i="1" l="1"/>
  <c r="AG58" i="1" s="1"/>
  <c r="AE64" i="1"/>
  <c r="N64" i="1"/>
  <c r="D2" i="1" s="1"/>
  <c r="Q63" i="1"/>
  <c r="P63" i="1"/>
  <c r="Q38" i="1"/>
  <c r="R32" i="1" s="1"/>
  <c r="P38" i="1"/>
  <c r="Q64" i="1" l="1"/>
  <c r="R58" i="1" s="1"/>
  <c r="P64" i="1"/>
  <c r="H2" i="1" l="1"/>
</calcChain>
</file>

<file path=xl/sharedStrings.xml><?xml version="1.0" encoding="utf-8"?>
<sst xmlns="http://schemas.openxmlformats.org/spreadsheetml/2006/main" count="11132" uniqueCount="3138">
  <si>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</si>
  <si>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</si>
  <si>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</si>
  <si>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</si>
  <si>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</si>
  <si>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</si>
  <si>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</si>
  <si>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</si>
  <si>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</si>
  <si>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</si>
  <si>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</si>
  <si>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</si>
  <si>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</si>
  <si>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</si>
  <si>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平均廠價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</si>
  <si>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</si>
  <si>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</si>
  <si>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</si>
  <si>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</si>
  <si>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</si>
  <si>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</si>
  <si>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</si>
  <si>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</si>
  <si>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</si>
  <si>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</si>
  <si>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</si>
  <si>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</si>
  <si>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</si>
  <si>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</si>
  <si>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</si>
  <si>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</si>
  <si>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</si>
  <si>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</si>
  <si>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</si>
  <si>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</si>
  <si>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</si>
  <si>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</si>
  <si>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</si>
  <si>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</si>
  <si>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</si>
  <si>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</si>
  <si>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</si>
  <si>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</si>
  <si>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</si>
  <si>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</si>
  <si>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</si>
  <si>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</si>
  <si>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</si>
  <si>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</si>
  <si>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</si>
  <si>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</si>
  <si>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</si>
  <si>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</si>
  <si>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</si>
  <si>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</si>
  <si>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</si>
  <si>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</si>
  <si>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</si>
  <si>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</si>
  <si>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</si>
  <si>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</si>
  <si>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</si>
  <si>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</si>
  <si>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</si>
  <si>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</si>
  <si>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</si>
  <si>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</si>
  <si>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</si>
  <si>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</si>
  <si>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</si>
  <si>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</si>
  <si>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</si>
  <si>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</si>
  <si>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星期五</t>
  </si>
  <si>
    <t>微波主食</t>
  </si>
  <si>
    <t>二配港式香滑嫩蛋牛肉燴飯</t>
  </si>
  <si>
    <t>二配美味蟹煲</t>
  </si>
  <si>
    <t>二配泰式綠咖哩雞</t>
  </si>
  <si>
    <t>二配蔥爆牛肉燴飯</t>
  </si>
  <si>
    <t>沙拉</t>
  </si>
  <si>
    <t>青醬優格雞肉握沙拉(113年)</t>
  </si>
  <si>
    <t>青檸烤雞握沙拉(113年)</t>
  </si>
  <si>
    <t>小吃</t>
  </si>
  <si>
    <t>剝皮辣椒雞湯</t>
  </si>
  <si>
    <t>韓式燒肉拌飯</t>
  </si>
  <si>
    <t>二配起司控培根白醬焗烤飯</t>
  </si>
  <si>
    <t>二配金咖哩果香甘口咖哩飯</t>
  </si>
  <si>
    <t>二配厚香料咖哩雞排飯</t>
  </si>
  <si>
    <t>爆炒雞丁飯</t>
  </si>
  <si>
    <t>韓式泡菜豬肉豆腐丼飯</t>
  </si>
  <si>
    <t>鐵板滑蛋炸豬排丼</t>
  </si>
  <si>
    <t>極上炙烤親子丼</t>
  </si>
  <si>
    <t>二配川味麻婆燒豆腐燴飯</t>
  </si>
  <si>
    <t>二配金咖哩濃厚辛口咖哩飯</t>
  </si>
  <si>
    <t>三明治</t>
  </si>
  <si>
    <t>紐奧良風味烤雞鮮蔬三明治</t>
  </si>
  <si>
    <t>經典總匯三明治</t>
  </si>
  <si>
    <t>醬燒烤雞三明治(115年)</t>
  </si>
  <si>
    <t>雞蛋沙拉三明治(114年)</t>
  </si>
  <si>
    <t>肉鬆火腿三明治(115年)</t>
  </si>
  <si>
    <t>經典火腿玉米蛋三明治</t>
  </si>
  <si>
    <t>好多菜三明治(114年)</t>
  </si>
  <si>
    <t>好多蛋三明治</t>
  </si>
  <si>
    <t>香鬆起司蛋三明治(114年)</t>
  </si>
  <si>
    <t>調理麵包</t>
  </si>
  <si>
    <t>黑胡椒豬肉鐵板炒麵麵包</t>
  </si>
  <si>
    <t>經典雙牛起司堡(113年)</t>
  </si>
  <si>
    <t>豬肉起司堡</t>
  </si>
  <si>
    <t>豬肉起司蛋堡</t>
  </si>
  <si>
    <t>莎莎烤雞麵沙拉</t>
  </si>
  <si>
    <t>壹號醬雞豚雙拼</t>
  </si>
  <si>
    <t>好多蒜燒豚飯</t>
  </si>
  <si>
    <t>二配香拌海鮮醬肉絲蛋炒飯</t>
  </si>
  <si>
    <t>二配香辣醬蒜味香腸蛋炒飯</t>
  </si>
  <si>
    <t>二配鮭魚蛋炒飯</t>
  </si>
  <si>
    <t>厚豆腐蛋白蕈菇豬肉堡</t>
  </si>
  <si>
    <t>茄汁薯餅蛋堡</t>
  </si>
  <si>
    <t>香雞蛋堡(112年)</t>
  </si>
  <si>
    <t>魔王愛吃辣雞堡</t>
  </si>
  <si>
    <t>美式雞腿堡</t>
  </si>
  <si>
    <t>黃金魚堡(114年)</t>
  </si>
  <si>
    <t>鮪魚起司溏心蛋三明治</t>
  </si>
  <si>
    <t>輕乳酪巧克力三明治</t>
  </si>
  <si>
    <t>藍莓優格三明治</t>
  </si>
  <si>
    <t>香蕉可可三明治</t>
  </si>
  <si>
    <t>火腿起司蛋三明治</t>
  </si>
  <si>
    <t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</si>
  <si>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</si>
  <si>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</si>
  <si>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</si>
  <si>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</si>
  <si>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</si>
  <si>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</si>
  <si>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</si>
  <si>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</si>
  <si>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</si>
  <si>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</si>
  <si>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</si>
  <si>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</si>
  <si>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</si>
  <si>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</si>
  <si>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</si>
  <si>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</si>
  <si>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</si>
  <si>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</si>
  <si>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排關平均</t>
  </si>
  <si>
    <t>實績平均</t>
  </si>
  <si>
    <t>達成率平均</t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</si>
  <si>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</si>
  <si>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</si>
  <si>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</si>
  <si>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</si>
  <si>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</si>
  <si>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</si>
  <si>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</si>
  <si>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</si>
  <si>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</si>
  <si>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</si>
  <si>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</si>
  <si>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</si>
  <si>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</si>
  <si>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</si>
  <si>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</si>
  <si>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</si>
  <si>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</si>
  <si>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</si>
  <si>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</si>
  <si>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</si>
  <si>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</si>
  <si>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</si>
  <si>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</si>
  <si>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</si>
  <si>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</si>
  <si>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</si>
  <si>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</si>
  <si>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</si>
  <si>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</si>
  <si>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ET-55</t>
  </si>
  <si>
    <t>熱縮爐</t>
  </si>
  <si>
    <t>L型包裝機</t>
    <phoneticPr fontId="4" type="noConversion"/>
  </si>
  <si>
    <t>伺服包裝機</t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</si>
  <si>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</si>
  <si>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</si>
  <si>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</si>
  <si>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</si>
  <si>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</si>
  <si>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</si>
  <si>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</si>
  <si>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</si>
  <si>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</si>
  <si>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</si>
  <si>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</si>
  <si>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</si>
  <si>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</si>
  <si>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</si>
  <si>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</si>
  <si>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</si>
  <si>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</si>
  <si>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</si>
  <si>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</si>
  <si>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</si>
  <si>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</si>
  <si>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</si>
  <si>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</si>
  <si>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</si>
  <si>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</si>
  <si>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</si>
  <si>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</si>
  <si>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</si>
  <si>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</si>
  <si>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溫層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</si>
  <si>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</si>
  <si>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</si>
  <si>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</si>
  <si>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</si>
  <si>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</si>
  <si>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</si>
  <si>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</si>
  <si>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</si>
  <si>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</si>
  <si>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</si>
  <si>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</si>
  <si>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</si>
  <si>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</si>
  <si>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</si>
  <si>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</si>
  <si>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</si>
  <si>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</si>
  <si>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</si>
  <si>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</si>
  <si>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</si>
  <si>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</si>
  <si>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</si>
  <si>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</si>
  <si>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</si>
  <si>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</si>
  <si>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</si>
  <si>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</si>
  <si>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</si>
  <si>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</si>
  <si>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</si>
  <si>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</si>
  <si>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</si>
  <si>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</si>
  <si>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</si>
  <si>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</si>
  <si>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</si>
  <si>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</si>
  <si>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</si>
  <si>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星期六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</si>
  <si>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</si>
  <si>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</si>
  <si>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</si>
  <si>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</si>
  <si>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</si>
  <si>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</si>
  <si>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</si>
  <si>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</si>
  <si>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</si>
  <si>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</si>
  <si>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</si>
  <si>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</si>
  <si>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</si>
  <si>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</si>
  <si>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</si>
  <si>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</si>
  <si>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</si>
  <si>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</si>
  <si>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</si>
  <si>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</si>
  <si>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</si>
  <si>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</si>
  <si>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</si>
  <si>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</si>
  <si>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</si>
  <si>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</si>
  <si>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</si>
  <si>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</si>
  <si>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</si>
  <si>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</si>
  <si>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</si>
  <si>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</si>
  <si>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</si>
  <si>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</si>
  <si>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</si>
  <si>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</si>
  <si>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</si>
  <si>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</si>
  <si>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</si>
  <si>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</si>
  <si>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</si>
  <si>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</si>
  <si>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</si>
  <si>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</si>
  <si>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</si>
  <si>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</si>
  <si>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</si>
  <si>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</si>
  <si>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</si>
  <si>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</si>
  <si>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</si>
  <si>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</si>
  <si>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</si>
  <si>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</si>
  <si>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</si>
  <si>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</si>
  <si>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</si>
  <si>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</si>
  <si>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</si>
  <si>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</si>
  <si>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</si>
  <si>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</si>
  <si>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</si>
  <si>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</si>
  <si>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</si>
  <si>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</si>
  <si>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</si>
  <si>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</si>
  <si>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</si>
  <si>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</si>
  <si>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</si>
  <si>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</si>
  <si>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</si>
  <si>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</si>
  <si>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</si>
  <si>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</si>
  <si>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</si>
  <si>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</si>
  <si>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</si>
  <si>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</si>
  <si>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</si>
  <si>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</si>
  <si>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</si>
  <si>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</si>
  <si>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</si>
  <si>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</si>
  <si>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</si>
  <si>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</si>
  <si>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</si>
  <si>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</si>
  <si>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</si>
  <si>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</si>
  <si>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</si>
  <si>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</si>
  <si>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</si>
  <si>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</si>
  <si>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</si>
  <si>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</si>
  <si>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</si>
  <si>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</si>
  <si>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</si>
  <si>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</si>
  <si>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</si>
  <si>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星期日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</si>
  <si>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</si>
  <si>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</si>
  <si>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</si>
  <si>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</si>
  <si>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</si>
  <si>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</si>
  <si>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</si>
  <si>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</si>
  <si>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</si>
  <si>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</si>
  <si>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</si>
  <si>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</si>
  <si>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</si>
  <si>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</si>
  <si>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</si>
  <si>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</si>
  <si>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</si>
  <si>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</si>
  <si>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</si>
  <si>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</si>
  <si>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</si>
  <si>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</si>
  <si>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</si>
  <si>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</si>
  <si>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</si>
  <si>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</si>
  <si>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</si>
  <si>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</si>
  <si>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</si>
  <si>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</si>
  <si>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</si>
  <si>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</si>
  <si>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</si>
  <si>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</si>
  <si>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</si>
  <si>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</si>
  <si>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</si>
  <si>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</si>
  <si>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</si>
  <si>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</si>
  <si>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</si>
  <si>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</si>
  <si>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</si>
  <si>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</si>
  <si>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</si>
  <si>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</si>
  <si>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</si>
  <si>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</si>
  <si>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</si>
  <si>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</si>
  <si>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</si>
  <si>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</si>
  <si>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</si>
  <si>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</si>
  <si>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</si>
  <si>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</si>
  <si>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</si>
  <si>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</si>
  <si>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</si>
  <si>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</si>
  <si>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</si>
  <si>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</si>
  <si>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</si>
  <si>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</si>
  <si>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</si>
  <si>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</si>
  <si>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</si>
  <si>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</si>
  <si>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</si>
  <si>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</si>
  <si>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</si>
  <si>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</si>
  <si>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</si>
  <si>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</si>
  <si>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</si>
  <si>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</si>
  <si>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</si>
  <si>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</si>
  <si>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</si>
  <si>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</si>
  <si>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</si>
  <si>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</si>
  <si>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</si>
  <si>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</si>
  <si>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</si>
  <si>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</si>
  <si>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</si>
  <si>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</si>
  <si>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</si>
  <si>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</si>
  <si>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</si>
  <si>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</si>
  <si>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</si>
  <si>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</si>
  <si>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</si>
  <si>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</si>
  <si>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</si>
  <si>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</si>
  <si>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</si>
  <si>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</si>
  <si>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</si>
  <si>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</si>
  <si>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</si>
  <si>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</si>
  <si>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</si>
  <si>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</si>
  <si>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</si>
  <si>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</si>
  <si>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</si>
  <si>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</si>
  <si>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</si>
  <si>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</si>
  <si>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</si>
  <si>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</si>
  <si>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</si>
  <si>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</si>
  <si>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</si>
  <si>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</si>
  <si>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</si>
  <si>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</si>
  <si>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</si>
  <si>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</si>
  <si>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</si>
  <si>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</si>
  <si>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</si>
  <si>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</si>
  <si>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</si>
  <si>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</si>
  <si>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</si>
  <si>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星期一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</si>
  <si>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</si>
  <si>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</si>
  <si>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</si>
  <si>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</si>
  <si>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</si>
  <si>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</si>
  <si>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</si>
  <si>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</si>
  <si>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</si>
  <si>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</si>
  <si>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</si>
  <si>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</si>
  <si>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</si>
  <si>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</si>
  <si>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</si>
  <si>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</si>
  <si>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</si>
  <si>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</si>
  <si>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</si>
  <si>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</si>
  <si>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</si>
  <si>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</si>
  <si>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</si>
  <si>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</si>
  <si>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</si>
  <si>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</si>
  <si>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</si>
  <si>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</si>
  <si>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</si>
  <si>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</si>
  <si>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</si>
  <si>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</si>
  <si>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</si>
  <si>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</si>
  <si>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</si>
  <si>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</si>
  <si>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</si>
  <si>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</si>
  <si>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</si>
  <si>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</si>
  <si>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</si>
  <si>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</si>
  <si>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</si>
  <si>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星期二</t>
  </si>
  <si>
    <t>多次生產數</t>
    <phoneticPr fontId="4" type="noConversion"/>
  </si>
  <si>
    <t>鮪魚起司溏心蛋三明治(115年)</t>
  </si>
  <si>
    <t>經典總匯三明治(115年)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</si>
  <si>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</si>
  <si>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</si>
  <si>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</si>
  <si>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</si>
  <si>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</si>
  <si>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</si>
  <si>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</si>
  <si>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</si>
  <si>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</si>
  <si>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</si>
  <si>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</si>
  <si>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</si>
  <si>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</si>
  <si>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</si>
  <si>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</si>
  <si>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</si>
  <si>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</si>
  <si>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</si>
  <si>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</si>
  <si>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</si>
  <si>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</si>
  <si>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</si>
  <si>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</si>
  <si>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</si>
  <si>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</si>
  <si>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</si>
  <si>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</si>
  <si>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</si>
  <si>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</si>
  <si>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</si>
  <si>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</si>
  <si>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</si>
  <si>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</si>
  <si>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</si>
  <si>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</si>
  <si>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</si>
  <si>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</si>
  <si>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</si>
  <si>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</si>
  <si>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</si>
  <si>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</si>
  <si>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</si>
  <si>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</si>
  <si>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</si>
  <si>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</si>
  <si>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</si>
  <si>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</si>
  <si>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</si>
  <si>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</si>
  <si>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</si>
  <si>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</si>
  <si>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</si>
  <si>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</si>
  <si>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星期三</t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</si>
  <si>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</si>
  <si>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</si>
  <si>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</si>
  <si>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</si>
  <si>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</si>
  <si>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</si>
  <si>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</si>
  <si>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</si>
  <si>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</si>
  <si>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</si>
  <si>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</si>
  <si>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</si>
  <si>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</si>
  <si>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</si>
  <si>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</si>
  <si>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</si>
  <si>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</si>
  <si>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</si>
  <si>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</si>
  <si>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</si>
  <si>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</si>
  <si>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</si>
  <si>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</si>
  <si>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</si>
  <si>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</si>
  <si>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</si>
  <si>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</si>
  <si>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</si>
  <si>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</si>
  <si>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</si>
  <si>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</si>
  <si>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</si>
  <si>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</si>
  <si>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</si>
  <si>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</si>
  <si>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</si>
  <si>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</si>
  <si>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</si>
  <si>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</si>
  <si>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</si>
  <si>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</si>
  <si>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</si>
  <si>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</si>
  <si>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</si>
  <si>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</si>
  <si>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</si>
  <si>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</si>
  <si>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</si>
  <si>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</si>
  <si>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</si>
  <si>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</si>
  <si>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</si>
  <si>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</si>
  <si>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</si>
  <si>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</si>
  <si>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</si>
  <si>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</si>
  <si>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</si>
  <si>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</si>
  <si>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</si>
  <si>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</si>
  <si>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</si>
  <si>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</si>
  <si>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</si>
  <si>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</si>
  <si>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</si>
  <si>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</si>
  <si>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</si>
  <si>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</si>
  <si>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</si>
  <si>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</si>
  <si>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</si>
  <si>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</si>
  <si>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</si>
  <si>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</si>
  <si>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</si>
  <si>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</si>
  <si>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</si>
  <si>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</si>
  <si>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</si>
  <si>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</si>
  <si>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</si>
  <si>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</si>
  <si>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</si>
  <si>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</si>
  <si>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</si>
  <si>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</si>
  <si>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</si>
  <si>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</si>
  <si>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</si>
  <si>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</si>
  <si>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</si>
  <si>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</si>
  <si>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</si>
  <si>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</si>
  <si>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</si>
  <si>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</si>
  <si>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</si>
  <si>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</si>
  <si>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</si>
  <si>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星期四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</si>
  <si>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</si>
  <si>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</si>
  <si>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</si>
  <si>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</si>
  <si>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</si>
  <si>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</si>
  <si>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</si>
  <si>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</si>
  <si>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</si>
  <si>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</si>
  <si>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</si>
  <si>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</si>
  <si>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</si>
  <si>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</si>
  <si>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</si>
  <si>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</si>
  <si>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</si>
  <si>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</si>
  <si>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</si>
  <si>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</si>
  <si>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</si>
  <si>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</si>
  <si>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</si>
  <si>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</si>
  <si>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</si>
  <si>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</si>
  <si>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</si>
  <si>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</si>
  <si>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</si>
  <si>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</si>
  <si>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新豐8線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</si>
  <si>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</si>
  <si>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</si>
  <si>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</si>
  <si>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</si>
  <si>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</si>
  <si>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</si>
  <si>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</si>
  <si>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</si>
  <si>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</si>
  <si>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</si>
  <si>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</si>
  <si>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</si>
  <si>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</si>
  <si>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</si>
  <si>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</si>
  <si>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</si>
  <si>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</si>
  <si>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</si>
  <si>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</si>
  <si>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</si>
  <si>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</si>
  <si>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</si>
  <si>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</si>
  <si>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</si>
  <si>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</si>
  <si>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</si>
  <si>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</si>
  <si>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</si>
  <si>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</si>
  <si>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</si>
  <si>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</si>
  <si>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</si>
  <si>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</si>
  <si>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</si>
  <si>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</si>
  <si>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</si>
  <si>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</si>
  <si>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</si>
  <si>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</si>
  <si>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</si>
  <si>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</si>
  <si>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</si>
  <si>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</si>
  <si>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</si>
  <si>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</si>
  <si>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</si>
  <si>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</si>
  <si>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</si>
  <si>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</si>
  <si>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</si>
  <si>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</si>
  <si>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</si>
  <si>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</si>
  <si>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</si>
  <si>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</si>
  <si>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</si>
  <si>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</si>
  <si>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</si>
  <si>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</si>
  <si>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</si>
  <si>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</si>
  <si>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</si>
  <si>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線別</t>
    <phoneticPr fontId="3" type="noConversion"/>
  </si>
  <si>
    <t>生產量</t>
    <phoneticPr fontId="4" type="noConversion"/>
  </si>
  <si>
    <t>人數</t>
    <phoneticPr fontId="4" type="noConversion"/>
  </si>
  <si>
    <t>人時性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</si>
  <si>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</si>
  <si>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</si>
  <si>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</si>
  <si>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</si>
  <si>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</si>
  <si>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</si>
  <si>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</si>
  <si>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</si>
  <si>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</si>
  <si>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</si>
  <si>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</si>
  <si>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</si>
  <si>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</si>
  <si>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</si>
  <si>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</si>
  <si>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</si>
  <si>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</si>
  <si>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</si>
  <si>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</si>
  <si>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</si>
  <si>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</si>
  <si>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</si>
  <si>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</si>
  <si>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</si>
  <si>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</si>
  <si>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</si>
  <si>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</si>
  <si>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</si>
  <si>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</si>
  <si>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</si>
  <si>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</si>
  <si>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</si>
  <si>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</si>
  <si>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</si>
  <si>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</si>
  <si>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</si>
  <si>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</si>
  <si>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</si>
  <si>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</si>
  <si>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</si>
  <si>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</si>
  <si>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</si>
  <si>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</si>
  <si>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</si>
  <si>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</si>
  <si>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</si>
  <si>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</si>
  <si>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</si>
  <si>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</si>
  <si>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</si>
  <si>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</si>
  <si>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</si>
  <si>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</si>
  <si>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</si>
  <si>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</si>
  <si>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</si>
  <si>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</si>
  <si>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</si>
  <si>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</si>
  <si>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</si>
  <si>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</si>
  <si>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</si>
  <si>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</si>
  <si>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</si>
  <si>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</si>
  <si>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</si>
  <si>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</si>
  <si>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</si>
  <si>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</si>
  <si>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</si>
  <si>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</si>
  <si>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</si>
  <si>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</si>
  <si>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</si>
  <si>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</si>
  <si>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</si>
  <si>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</si>
  <si>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</si>
  <si>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</si>
  <si>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</si>
  <si>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</si>
  <si>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</si>
  <si>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</si>
  <si>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</si>
  <si>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</si>
  <si>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</si>
  <si>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</si>
  <si>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</si>
  <si>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</si>
  <si>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</si>
  <si>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</si>
  <si>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</si>
  <si>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</si>
  <si>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</si>
  <si>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</si>
  <si>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</si>
  <si>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</si>
  <si>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</si>
  <si>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</si>
  <si>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</si>
  <si>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</si>
  <si>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</si>
  <si>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</si>
  <si>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</si>
  <si>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</si>
  <si>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</si>
  <si>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</si>
  <si>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</si>
  <si>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</si>
  <si>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</si>
  <si>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</si>
  <si>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</si>
  <si>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</si>
  <si>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</si>
  <si>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</si>
  <si>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</si>
  <si>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</si>
  <si>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</si>
  <si>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</si>
  <si>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</si>
  <si>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</si>
  <si>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</si>
  <si>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</si>
  <si>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</si>
  <si>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</si>
  <si>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</si>
  <si>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</si>
  <si>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</si>
  <si>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</si>
  <si>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</si>
  <si>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</si>
  <si>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</si>
  <si>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</si>
  <si>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</si>
  <si>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</si>
  <si>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</si>
  <si>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</si>
  <si>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</si>
  <si>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</si>
  <si>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</si>
  <si>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</si>
  <si>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</si>
  <si>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</si>
  <si>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</si>
  <si>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</si>
  <si>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</si>
  <si>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</si>
  <si>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</si>
  <si>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</si>
  <si>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</si>
  <si>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</si>
  <si>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</si>
  <si>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</si>
  <si>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</si>
  <si>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</si>
  <si>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</si>
  <si>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</si>
  <si>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</si>
  <si>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</si>
  <si>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</si>
  <si>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</si>
  <si>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</si>
  <si>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</si>
  <si>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</si>
  <si>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</si>
  <si>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</si>
  <si>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</si>
  <si>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</si>
  <si>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</si>
  <si>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</si>
  <si>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</si>
  <si>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</si>
  <si>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</si>
  <si>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</si>
  <si>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</si>
  <si>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</si>
  <si>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</si>
  <si>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</si>
  <si>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</si>
  <si>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</si>
  <si>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</si>
  <si>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</si>
  <si>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</si>
  <si>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</si>
  <si>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</si>
  <si>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</si>
  <si>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</si>
  <si>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</si>
  <si>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</si>
  <si>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</si>
  <si>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</si>
  <si>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</si>
  <si>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</si>
  <si>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</si>
  <si>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</si>
  <si>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</si>
  <si>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</si>
  <si>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</si>
  <si>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</si>
  <si>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</si>
  <si>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</si>
  <si>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</si>
  <si>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</si>
  <si>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</si>
  <si>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</si>
  <si>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</si>
  <si>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</si>
  <si>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</si>
  <si>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</si>
  <si>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</si>
  <si>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</si>
  <si>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</si>
  <si>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</si>
  <si>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</si>
  <si>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</si>
  <si>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</si>
  <si>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</si>
  <si>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</si>
  <si>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</si>
  <si>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</si>
  <si>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</si>
  <si>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</si>
  <si>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</si>
  <si>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</si>
  <si>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</si>
  <si>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</si>
  <si>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</si>
  <si>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</si>
  <si>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</si>
  <si>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</si>
  <si>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</si>
  <si>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</si>
  <si>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</si>
  <si>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</si>
  <si>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</si>
  <si>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</si>
  <si>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</si>
  <si>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</si>
  <si>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</si>
  <si>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</si>
  <si>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</si>
  <si>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</si>
  <si>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</si>
  <si>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</si>
  <si>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</si>
  <si>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</si>
  <si>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</si>
  <si>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</si>
  <si>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</si>
  <si>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</si>
  <si>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</si>
  <si>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</si>
  <si>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</si>
  <si>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</si>
  <si>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</si>
  <si>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</si>
  <si>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</si>
  <si>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</si>
  <si>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</si>
  <si>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</si>
  <si>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</si>
  <si>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</si>
  <si>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</si>
  <si>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</si>
  <si>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</si>
  <si>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</si>
  <si>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</si>
  <si>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③三明治-各編組展開</t>
    <phoneticPr fontId="4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</si>
  <si>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</si>
  <si>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</si>
  <si>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</si>
  <si>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</si>
  <si>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</si>
  <si>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</si>
  <si>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</si>
  <si>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</si>
  <si>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</si>
  <si>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</si>
  <si>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</si>
  <si>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</si>
  <si>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</si>
  <si>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</si>
  <si>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</si>
  <si>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</si>
  <si>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</si>
  <si>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</si>
  <si>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</si>
  <si>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</si>
  <si>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</si>
  <si>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</si>
  <si>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</si>
  <si>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</si>
  <si>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</si>
  <si>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</si>
  <si>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</si>
  <si>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</si>
  <si>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</si>
  <si>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</si>
  <si>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</si>
  <si>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</si>
  <si>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</si>
  <si>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</si>
  <si>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</si>
  <si>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</si>
  <si>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</si>
  <si>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</si>
  <si>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</si>
  <si>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</si>
  <si>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</si>
  <si>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</si>
  <si>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</si>
  <si>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</si>
  <si>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</si>
  <si>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</si>
  <si>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</si>
  <si>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</si>
  <si>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</si>
  <si>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</si>
  <si>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</si>
  <si>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</si>
  <si>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</si>
  <si>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</si>
  <si>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</si>
  <si>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</si>
  <si>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</si>
  <si>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</si>
  <si>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</si>
  <si>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</si>
  <si>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</si>
  <si>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</si>
  <si>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</si>
  <si>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</si>
  <si>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</si>
  <si>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</si>
  <si>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</si>
  <si>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</si>
  <si>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</si>
  <si>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</si>
  <si>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</si>
  <si>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</si>
  <si>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</si>
  <si>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</si>
  <si>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</si>
  <si>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</si>
  <si>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</si>
  <si>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</si>
  <si>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</si>
  <si>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</si>
  <si>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</si>
  <si>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</si>
  <si>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</si>
  <si>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</si>
  <si>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</si>
  <si>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</si>
  <si>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</si>
  <si>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</si>
  <si>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</si>
  <si>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</si>
  <si>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</si>
  <si>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</si>
  <si>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</si>
  <si>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</si>
  <si>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</si>
  <si>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</si>
  <si>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</si>
  <si>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</si>
  <si>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</si>
  <si>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</si>
  <si>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</si>
  <si>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</si>
  <si>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</si>
  <si>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</si>
  <si>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</si>
  <si>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</si>
  <si>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</si>
  <si>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</si>
  <si>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</si>
  <si>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</si>
  <si>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</si>
  <si>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</si>
  <si>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</si>
  <si>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</si>
  <si>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</si>
  <si>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</si>
  <si>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</si>
  <si>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</si>
  <si>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</si>
  <si>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</si>
  <si>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</si>
  <si>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</si>
  <si>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</si>
  <si>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</si>
  <si>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</si>
  <si>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</si>
  <si>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</si>
  <si>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</si>
  <si>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</si>
  <si>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</si>
  <si>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</si>
  <si>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</si>
  <si>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</si>
  <si>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</si>
  <si>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</si>
  <si>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</si>
  <si>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</si>
  <si>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</si>
  <si>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</si>
  <si>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</si>
  <si>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</si>
  <si>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</si>
  <si>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</si>
  <si>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</si>
  <si>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</si>
  <si>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</si>
  <si>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</si>
  <si>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</si>
  <si>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</si>
  <si>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</si>
  <si>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</si>
  <si>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</si>
  <si>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</si>
  <si>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</si>
  <si>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</si>
  <si>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</si>
  <si>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</si>
  <si>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</si>
  <si>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</si>
  <si>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</si>
  <si>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</si>
  <si>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</si>
  <si>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</si>
  <si>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</si>
  <si>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</si>
  <si>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</si>
  <si>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</si>
  <si>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</si>
  <si>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</si>
  <si>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</si>
  <si>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</si>
  <si>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</si>
  <si>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</si>
  <si>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</si>
  <si>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</si>
  <si>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</si>
  <si>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</si>
  <si>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</si>
  <si>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</si>
  <si>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</si>
  <si>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茄汁厚起司三明治</t>
  </si>
  <si>
    <t>日式炙烤親子丼</t>
  </si>
  <si>
    <t>蔥鹽雞肉麵沙拉(114年)</t>
  </si>
  <si>
    <t>新豐6線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</si>
  <si>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</si>
  <si>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</si>
  <si>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</si>
  <si>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</si>
  <si>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</si>
  <si>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</si>
  <si>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</si>
  <si>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</si>
  <si>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</si>
  <si>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</si>
  <si>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</si>
  <si>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</si>
  <si>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</si>
  <si>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</si>
  <si>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</si>
  <si>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</si>
  <si>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</si>
  <si>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</si>
  <si>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</si>
  <si>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</si>
  <si>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</si>
  <si>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</si>
  <si>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</si>
  <si>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</si>
  <si>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</si>
  <si>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</si>
  <si>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</si>
  <si>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</si>
  <si>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</si>
  <si>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</si>
  <si>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</si>
  <si>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</si>
  <si>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</si>
  <si>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</si>
  <si>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</si>
  <si>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</si>
  <si>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</si>
  <si>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</si>
  <si>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</si>
  <si>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</si>
  <si>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</si>
  <si>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</si>
  <si>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</si>
  <si>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</si>
  <si>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</si>
  <si>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</si>
  <si>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</si>
  <si>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</si>
  <si>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</si>
  <si>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</si>
  <si>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</si>
  <si>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結束</t>
    <phoneticPr fontId="4" type="noConversion"/>
  </si>
  <si>
    <t>次數</t>
    <phoneticPr fontId="13" type="noConversion"/>
  </si>
  <si>
    <t>新豐7線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</si>
  <si>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</si>
  <si>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</si>
  <si>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</si>
  <si>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</si>
  <si>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</si>
  <si>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</si>
  <si>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</si>
  <si>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</si>
  <si>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</si>
  <si>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</si>
  <si>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</si>
  <si>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</si>
  <si>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</si>
  <si>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</si>
  <si>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</si>
  <si>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</si>
  <si>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</si>
  <si>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</si>
  <si>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</si>
  <si>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</si>
  <si>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</si>
  <si>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</si>
  <si>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</si>
  <si>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</si>
  <si>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</si>
  <si>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</si>
  <si>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</si>
  <si>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</si>
  <si>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</si>
  <si>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</si>
  <si>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</si>
  <si>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</si>
  <si>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</si>
  <si>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</si>
  <si>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</si>
  <si>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</si>
  <si>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</si>
  <si>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</si>
  <si>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</si>
  <si>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</si>
  <si>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</si>
  <si>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</si>
  <si>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</si>
  <si>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</si>
  <si>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</si>
  <si>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</si>
  <si>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</si>
  <si>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</si>
  <si>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</si>
  <si>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</si>
  <si>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</si>
  <si>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</si>
  <si>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</si>
  <si>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</si>
  <si>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</si>
  <si>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</si>
  <si>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</si>
  <si>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</si>
  <si>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</si>
  <si>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</si>
  <si>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</si>
  <si>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</si>
  <si>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</si>
  <si>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</si>
  <si>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</si>
  <si>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</si>
  <si>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</si>
  <si>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</si>
  <si>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</si>
  <si>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</si>
  <si>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</si>
  <si>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</si>
  <si>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</si>
  <si>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</si>
  <si>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</si>
  <si>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</si>
  <si>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</si>
  <si>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</si>
  <si>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</si>
  <si>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</si>
  <si>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</si>
  <si>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</si>
  <si>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</si>
  <si>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</si>
  <si>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</si>
  <si>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</si>
  <si>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</si>
  <si>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</si>
  <si>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</si>
  <si>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</si>
  <si>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</si>
  <si>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</si>
  <si>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</si>
  <si>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</si>
  <si>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</si>
  <si>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</si>
  <si>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</si>
  <si>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</si>
  <si>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</si>
  <si>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</si>
  <si>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</si>
  <si>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</si>
  <si>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</si>
  <si>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</si>
  <si>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</si>
  <si>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</si>
  <si>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</si>
  <si>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</si>
  <si>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</si>
  <si>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</si>
  <si>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</si>
  <si>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</si>
  <si>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</si>
  <si>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</si>
  <si>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</si>
  <si>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</si>
  <si>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</si>
  <si>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</si>
  <si>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</si>
  <si>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</si>
  <si>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</si>
  <si>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</si>
  <si>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</si>
  <si>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</si>
  <si>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</si>
  <si>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</si>
  <si>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</si>
  <si>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</si>
  <si>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</si>
  <si>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</si>
  <si>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</si>
  <si>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</si>
  <si>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</si>
  <si>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</si>
  <si>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</si>
  <si>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</si>
  <si>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</si>
  <si>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</si>
  <si>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</si>
  <si>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</si>
  <si>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</si>
  <si>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</si>
  <si>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</si>
  <si>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</si>
  <si>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</si>
  <si>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</si>
  <si>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</si>
  <si>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</si>
  <si>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</si>
  <si>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</si>
  <si>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</si>
  <si>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</si>
  <si>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</si>
  <si>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</si>
  <si>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</si>
  <si>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</si>
  <si>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</si>
  <si>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</si>
  <si>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</si>
  <si>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</si>
  <si>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</si>
  <si>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</si>
  <si>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</si>
  <si>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</si>
  <si>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</si>
  <si>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</si>
  <si>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</si>
  <si>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</si>
  <si>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</si>
  <si>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</si>
  <si>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</si>
  <si>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</si>
  <si>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</si>
  <si>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</si>
  <si>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</si>
  <si>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</si>
  <si>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</si>
  <si>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</si>
  <si>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</si>
  <si>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</si>
  <si>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</si>
  <si>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</si>
  <si>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</si>
  <si>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</si>
  <si>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</si>
  <si>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</si>
  <si>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</si>
  <si>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</si>
  <si>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</si>
  <si>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</si>
  <si>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</si>
  <si>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</si>
  <si>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</si>
  <si>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</si>
  <si>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</si>
  <si>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</si>
  <si>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</si>
  <si>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</si>
  <si>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</si>
  <si>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</si>
  <si>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</si>
  <si>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</si>
  <si>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</si>
  <si>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</si>
  <si>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</si>
  <si>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</si>
  <si>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</si>
  <si>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</si>
  <si>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</si>
  <si>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</si>
  <si>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</si>
  <si>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</si>
  <si>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</si>
  <si>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</si>
  <si>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</si>
  <si>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</si>
  <si>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</si>
  <si>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</si>
  <si>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</si>
  <si>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</si>
  <si>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</si>
  <si>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</si>
  <si>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</si>
  <si>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</si>
  <si>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</si>
  <si>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</si>
  <si>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</si>
  <si>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</si>
  <si>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</si>
  <si>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</si>
  <si>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</si>
  <si>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</si>
  <si>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</si>
  <si>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</si>
  <si>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</si>
  <si>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日期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</si>
  <si>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</si>
  <si>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</si>
  <si>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</si>
  <si>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</si>
  <si>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</si>
  <si>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</si>
  <si>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</si>
  <si>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</si>
  <si>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③三明治-各編組展開</t>
    <phoneticPr fontId="3" type="noConversion"/>
  </si>
  <si>
    <t>時間</t>
    <phoneticPr fontId="3" type="noConversion"/>
  </si>
  <si>
    <t>合計次數</t>
    <phoneticPr fontId="4" type="noConversion"/>
  </si>
  <si>
    <t>溫層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</si>
  <si>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</si>
  <si>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</si>
  <si>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</si>
  <si>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</si>
  <si>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</si>
  <si>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</si>
  <si>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</si>
  <si>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</si>
  <si>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</si>
  <si>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</si>
  <si>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</si>
  <si>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</si>
  <si>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</si>
  <si>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</si>
  <si>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</si>
  <si>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</si>
  <si>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</si>
  <si>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</si>
  <si>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</si>
  <si>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</si>
  <si>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</si>
  <si>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</si>
  <si>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</si>
  <si>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</si>
  <si>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</si>
  <si>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</si>
  <si>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</si>
  <si>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</si>
  <si>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</si>
  <si>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</si>
  <si>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</si>
  <si>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</si>
  <si>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品類</t>
    <phoneticPr fontId="4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</si>
  <si>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</si>
  <si>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</si>
  <si>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</si>
  <si>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</si>
  <si>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</si>
  <si>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</si>
  <si>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</si>
  <si>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</si>
  <si>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</si>
  <si>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</si>
  <si>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</si>
  <si>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</si>
  <si>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</si>
  <si>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</si>
  <si>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</si>
  <si>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</si>
  <si>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</si>
  <si>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</si>
  <si>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</si>
  <si>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</si>
  <si>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</si>
  <si>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</si>
  <si>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</si>
  <si>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</si>
  <si>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</si>
  <si>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</si>
  <si>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</si>
  <si>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</si>
  <si>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</si>
  <si>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</si>
  <si>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</si>
  <si>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</si>
  <si>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</si>
  <si>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</si>
  <si>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</si>
  <si>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</si>
  <si>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</si>
  <si>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</si>
  <si>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</si>
  <si>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</si>
  <si>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</si>
  <si>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</si>
  <si>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</si>
  <si>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</si>
  <si>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</si>
  <si>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</si>
  <si>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</si>
  <si>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</si>
  <si>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</si>
  <si>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</si>
  <si>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</si>
  <si>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</si>
  <si>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</si>
  <si>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</si>
  <si>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</si>
  <si>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</si>
  <si>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</si>
  <si>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</si>
  <si>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</si>
  <si>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</si>
  <si>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</si>
  <si>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</si>
  <si>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</si>
  <si>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</si>
  <si>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</si>
  <si>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</si>
  <si>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</si>
  <si>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</si>
  <si>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</si>
  <si>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</si>
  <si>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</si>
  <si>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</si>
  <si>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</si>
  <si>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</si>
  <si>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</si>
  <si>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</si>
  <si>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</si>
  <si>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</si>
  <si>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</si>
  <si>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</si>
  <si>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</si>
  <si>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</si>
  <si>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</si>
  <si>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</si>
  <si>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</si>
  <si>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</si>
  <si>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</si>
  <si>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</si>
  <si>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</si>
  <si>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</si>
  <si>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</si>
  <si>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</si>
  <si>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</si>
  <si>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</si>
  <si>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</si>
  <si>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</si>
  <si>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</si>
  <si>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</si>
  <si>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</si>
  <si>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</si>
  <si>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</si>
  <si>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</si>
  <si>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</si>
  <si>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</si>
  <si>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</si>
  <si>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</si>
  <si>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</si>
  <si>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</si>
  <si>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</si>
  <si>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</si>
  <si>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</si>
  <si>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</si>
  <si>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</si>
  <si>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</si>
  <si>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</si>
  <si>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</si>
  <si>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</si>
  <si>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</si>
  <si>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</si>
  <si>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</si>
  <si>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</si>
  <si>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</si>
  <si>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</si>
  <si>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</si>
  <si>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</si>
  <si>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</si>
  <si>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</si>
  <si>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</si>
  <si>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</si>
  <si>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</si>
  <si>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</si>
  <si>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</si>
  <si>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</si>
  <si>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</si>
  <si>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</si>
  <si>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</si>
  <si>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</si>
  <si>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</si>
  <si>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</si>
  <si>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</si>
  <si>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</si>
  <si>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</si>
  <si>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</si>
  <si>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</si>
  <si>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</si>
  <si>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</si>
  <si>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</si>
  <si>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</si>
  <si>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</si>
  <si>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</si>
  <si>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</si>
  <si>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</si>
  <si>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</si>
  <si>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</si>
  <si>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</si>
  <si>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</si>
  <si>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</si>
  <si>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</si>
  <si>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</si>
  <si>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</si>
  <si>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</si>
  <si>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</si>
  <si>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</si>
  <si>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</si>
  <si>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</si>
  <si>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</si>
  <si>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</si>
  <si>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</si>
  <si>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</si>
  <si>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</si>
  <si>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</si>
  <si>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</si>
  <si>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</si>
  <si>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</si>
  <si>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</si>
  <si>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</si>
  <si>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</si>
  <si>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</si>
  <si>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</si>
  <si>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</si>
  <si>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</si>
  <si>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</si>
  <si>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</si>
  <si>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溫層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</si>
  <si>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</si>
  <si>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</si>
  <si>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</si>
  <si>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</si>
  <si>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</si>
  <si>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</si>
  <si>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</si>
  <si>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</si>
  <si>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</si>
  <si>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</si>
  <si>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</si>
  <si>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</si>
  <si>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</si>
  <si>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</si>
  <si>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</si>
  <si>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</si>
  <si>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</si>
  <si>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</si>
  <si>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</si>
  <si>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</si>
  <si>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</si>
  <si>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</si>
  <si>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</si>
  <si>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</si>
  <si>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</si>
  <si>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</si>
  <si>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</si>
  <si>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</si>
  <si>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</si>
  <si>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</si>
  <si>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</si>
  <si>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</si>
  <si>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</si>
  <si>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</si>
  <si>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</si>
  <si>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</si>
  <si>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</si>
  <si>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</si>
  <si>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品名</t>
    <phoneticPr fontId="3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</si>
  <si>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</si>
  <si>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</si>
  <si>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</si>
  <si>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</si>
  <si>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</si>
  <si>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</si>
  <si>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</si>
  <si>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</si>
  <si>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</si>
  <si>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</si>
  <si>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</si>
  <si>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</si>
  <si>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</si>
  <si>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</si>
  <si>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</si>
  <si>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</si>
  <si>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</si>
  <si>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</si>
  <si>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</si>
  <si>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</si>
  <si>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</si>
  <si>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</si>
  <si>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</si>
  <si>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</si>
  <si>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</si>
  <si>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</si>
  <si>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</si>
  <si>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</si>
  <si>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</si>
  <si>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</si>
  <si>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</si>
  <si>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</si>
  <si>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</si>
  <si>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二配打拋風味豬肉飯</t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</si>
  <si>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</si>
  <si>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</si>
  <si>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</si>
  <si>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</si>
  <si>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</si>
  <si>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</si>
  <si>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</si>
  <si>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</si>
  <si>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</si>
  <si>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</si>
  <si>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</si>
  <si>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</si>
  <si>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</si>
  <si>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</si>
  <si>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</si>
  <si>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</si>
  <si>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</si>
  <si>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</si>
  <si>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</si>
  <si>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</si>
  <si>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</si>
  <si>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</si>
  <si>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</si>
  <si>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</si>
  <si>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</si>
  <si>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</si>
  <si>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</si>
  <si>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</si>
  <si>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</si>
  <si>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</si>
  <si>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</si>
  <si>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</si>
  <si>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</si>
  <si>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</si>
  <si>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</si>
  <si>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</si>
  <si>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</si>
  <si>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</si>
  <si>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</si>
  <si>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</si>
  <si>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</si>
  <si>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</si>
  <si>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</si>
  <si>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</si>
  <si>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</si>
  <si>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</si>
  <si>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</si>
  <si>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總生產量</t>
    <phoneticPr fontId="4" type="noConversion"/>
  </si>
  <si>
    <t>合計
時間/分</t>
    <phoneticPr fontId="3" type="noConversion"/>
  </si>
  <si>
    <t>線別</t>
    <phoneticPr fontId="3" type="noConversion"/>
  </si>
  <si>
    <t>營收</t>
    <phoneticPr fontId="7" type="noConversion"/>
  </si>
  <si>
    <t>多次
生產</t>
    <phoneticPr fontId="4" type="noConversion"/>
  </si>
  <si>
    <t>人時性</t>
    <phoneticPr fontId="4" type="noConversion"/>
  </si>
  <si>
    <t>人時性</t>
    <phoneticPr fontId="4" type="noConversion"/>
  </si>
  <si>
    <t>(新豐回填)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</si>
  <si>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</si>
  <si>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</si>
  <si>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</si>
  <si>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</si>
  <si>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</si>
  <si>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</si>
  <si>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</si>
  <si>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</si>
  <si>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</si>
  <si>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</si>
  <si>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</si>
  <si>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</si>
  <si>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</si>
  <si>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</si>
  <si>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</si>
  <si>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</si>
  <si>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</si>
  <si>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</si>
  <si>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</si>
  <si>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</si>
  <si>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</si>
  <si>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</si>
  <si>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</si>
  <si>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</si>
  <si>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</si>
  <si>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</si>
  <si>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</si>
  <si>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</si>
  <si>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</si>
  <si>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</si>
  <si>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</si>
  <si>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</si>
  <si>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</si>
  <si>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</si>
  <si>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</si>
  <si>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</si>
  <si>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</si>
  <si>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</si>
  <si>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</si>
  <si>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</si>
  <si>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</si>
  <si>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</si>
  <si>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</si>
  <si>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</si>
  <si>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</si>
  <si>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</si>
  <si>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</si>
  <si>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</si>
  <si>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</si>
  <si>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</si>
  <si>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</si>
  <si>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</si>
  <si>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</si>
  <si>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</si>
  <si>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</si>
  <si>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</si>
  <si>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</si>
  <si>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</si>
  <si>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</si>
  <si>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</si>
  <si>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</si>
  <si>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</si>
  <si>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</si>
  <si>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</si>
  <si>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</si>
  <si>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</si>
  <si>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開始</t>
    <phoneticPr fontId="4" type="noConversion"/>
  </si>
  <si>
    <t>結束</t>
    <phoneticPr fontId="4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</si>
  <si>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</si>
  <si>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</si>
  <si>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</si>
  <si>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厚蛋時蔬握沙拉</t>
  </si>
  <si>
    <t>榛果摩卡脆脆三明治</t>
  </si>
  <si>
    <t>新豐8線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</si>
  <si>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</si>
  <si>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</si>
  <si>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</si>
  <si>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</si>
  <si>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</si>
  <si>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</si>
  <si>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</si>
  <si>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</si>
  <si>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</si>
  <si>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</si>
  <si>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</si>
  <si>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</si>
  <si>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</si>
  <si>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</si>
  <si>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</si>
  <si>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</si>
  <si>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</si>
  <si>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</si>
  <si>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</si>
  <si>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</si>
  <si>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</si>
  <si>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</si>
  <si>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</si>
  <si>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</si>
  <si>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</si>
  <si>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</si>
  <si>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</si>
  <si>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</si>
  <si>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</si>
  <si>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</si>
  <si>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</si>
  <si>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</si>
  <si>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</si>
  <si>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</si>
  <si>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</si>
  <si>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</si>
  <si>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</si>
  <si>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</si>
  <si>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</si>
  <si>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</si>
  <si>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</si>
  <si>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</si>
  <si>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</si>
  <si>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</si>
  <si>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</si>
  <si>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</si>
  <si>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</si>
  <si>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</si>
  <si>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</si>
  <si>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</si>
  <si>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</si>
  <si>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</si>
  <si>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</si>
  <si>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</si>
  <si>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</si>
  <si>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</si>
  <si>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</si>
  <si>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</si>
  <si>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</si>
  <si>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</si>
  <si>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</si>
  <si>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</si>
  <si>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</si>
  <si>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</si>
  <si>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</si>
  <si>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</si>
  <si>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</si>
  <si>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</si>
  <si>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</si>
  <si>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</si>
  <si>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</si>
  <si>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</si>
  <si>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</si>
  <si>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</si>
  <si>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</si>
  <si>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</si>
  <si>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</si>
  <si>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</si>
  <si>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</si>
  <si>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</si>
  <si>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</si>
  <si>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</si>
  <si>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</si>
  <si>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</si>
  <si>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</si>
  <si>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</si>
  <si>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</si>
  <si>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</si>
  <si>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</si>
  <si>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</si>
  <si>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</si>
  <si>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</si>
  <si>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</si>
  <si>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</si>
  <si>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</si>
  <si>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</si>
  <si>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</si>
  <si>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</si>
  <si>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</si>
  <si>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</si>
  <si>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</si>
  <si>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</si>
  <si>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</si>
  <si>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</si>
  <si>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</si>
  <si>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</si>
  <si>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</si>
  <si>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</si>
  <si>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</si>
  <si>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</si>
  <si>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</si>
  <si>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</si>
  <si>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</si>
  <si>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</si>
  <si>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</si>
  <si>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</si>
  <si>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</si>
  <si>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</si>
  <si>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</si>
  <si>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</si>
  <si>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</si>
  <si>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</si>
  <si>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</si>
  <si>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</si>
  <si>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</si>
  <si>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</si>
  <si>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</si>
  <si>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</si>
  <si>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</si>
  <si>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</si>
  <si>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</si>
  <si>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</si>
  <si>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</si>
  <si>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</si>
  <si>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</si>
  <si>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</si>
  <si>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</si>
  <si>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</si>
  <si>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</si>
  <si>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</si>
  <si>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</si>
  <si>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</si>
  <si>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</si>
  <si>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</si>
  <si>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</si>
  <si>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</si>
  <si>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</si>
  <si>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</si>
  <si>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</si>
  <si>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</si>
  <si>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</si>
  <si>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</si>
  <si>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</si>
  <si>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</si>
  <si>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</si>
  <si>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</si>
  <si>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</si>
  <si>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</si>
  <si>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</si>
  <si>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</si>
  <si>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</si>
  <si>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</si>
  <si>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</si>
  <si>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</si>
  <si>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</si>
  <si>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</si>
  <si>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</si>
  <si>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</si>
  <si>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</si>
  <si>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</si>
  <si>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</si>
  <si>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</si>
  <si>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</si>
  <si>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</si>
  <si>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</si>
  <si>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</si>
  <si>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</si>
  <si>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</si>
  <si>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</si>
  <si>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</si>
  <si>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</si>
  <si>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</si>
  <si>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</si>
  <si>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</si>
  <si>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</si>
  <si>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</si>
  <si>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</si>
  <si>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</si>
  <si>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</si>
  <si>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</si>
  <si>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</si>
  <si>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</si>
  <si>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</si>
  <si>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</si>
  <si>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</si>
  <si>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</si>
  <si>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</si>
  <si>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</si>
  <si>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</si>
  <si>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</si>
  <si>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</si>
  <si>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</si>
  <si>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</si>
  <si>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</si>
  <si>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</si>
  <si>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</si>
  <si>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</si>
  <si>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</si>
  <si>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</si>
  <si>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</si>
  <si>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</si>
  <si>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</si>
  <si>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</si>
  <si>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</si>
  <si>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</si>
  <si>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</si>
  <si>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</si>
  <si>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</si>
  <si>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</si>
  <si>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</si>
  <si>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</si>
  <si>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</si>
  <si>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</si>
  <si>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</si>
  <si>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</si>
  <si>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</si>
  <si>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</si>
  <si>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</si>
  <si>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</si>
  <si>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</si>
  <si>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</si>
  <si>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</si>
  <si>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</si>
  <si>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</si>
  <si>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</si>
  <si>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</si>
  <si>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</si>
  <si>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</si>
  <si>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</si>
  <si>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</si>
  <si>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</si>
  <si>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</si>
  <si>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</si>
  <si>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</si>
  <si>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</si>
  <si>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</si>
  <si>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</si>
  <si>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</si>
  <si>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</si>
  <si>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</si>
  <si>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</si>
  <si>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</si>
  <si>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</si>
  <si>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</si>
  <si>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</si>
  <si>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</si>
  <si>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</si>
  <si>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</si>
  <si>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</si>
  <si>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</si>
  <si>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</si>
  <si>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人時性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</si>
  <si>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</si>
  <si>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</si>
  <si>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</si>
  <si>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</si>
  <si>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</si>
  <si>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</si>
  <si>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</si>
  <si>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</si>
  <si>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</si>
  <si>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</si>
  <si>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</si>
  <si>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</si>
  <si>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</si>
  <si>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</si>
  <si>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</si>
  <si>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</si>
  <si>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</si>
  <si>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</si>
  <si>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</si>
  <si>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</si>
  <si>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</si>
  <si>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</si>
  <si>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</si>
  <si>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</si>
  <si>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</si>
  <si>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</si>
  <si>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</si>
  <si>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</si>
  <si>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</si>
  <si>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</si>
  <si>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</si>
  <si>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</si>
  <si>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</si>
  <si>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</si>
  <si>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</si>
  <si>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</si>
  <si>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</si>
  <si>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</si>
  <si>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</si>
  <si>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</si>
  <si>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</si>
  <si>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</si>
  <si>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</si>
  <si>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</si>
  <si>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</si>
  <si>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</si>
  <si>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</si>
  <si>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</si>
  <si>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</si>
  <si>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</si>
  <si>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</si>
  <si>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</si>
  <si>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</si>
  <si>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</si>
  <si>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</si>
  <si>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</si>
  <si>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</si>
  <si>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</si>
  <si>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</si>
  <si>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</si>
  <si>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</si>
  <si>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</si>
  <si>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</si>
  <si>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</si>
  <si>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</si>
  <si>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</si>
  <si>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</si>
  <si>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</si>
  <si>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</si>
  <si>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</si>
  <si>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</si>
  <si>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</si>
  <si>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</si>
  <si>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</si>
  <si>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</si>
  <si>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</si>
  <si>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</si>
  <si>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</si>
  <si>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</si>
  <si>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</si>
  <si>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</si>
  <si>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</si>
  <si>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</si>
  <si>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</si>
  <si>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</si>
  <si>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</si>
  <si>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</si>
  <si>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</si>
  <si>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</si>
  <si>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</si>
  <si>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</si>
  <si>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</si>
  <si>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</si>
  <si>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</si>
  <si>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</si>
  <si>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</si>
  <si>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</si>
  <si>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</si>
  <si>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</si>
  <si>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</si>
  <si>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</si>
  <si>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</si>
  <si>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</si>
  <si>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</si>
  <si>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</si>
  <si>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</si>
  <si>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</si>
  <si>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</si>
  <si>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</si>
  <si>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</si>
  <si>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</si>
  <si>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</si>
  <si>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</si>
  <si>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</si>
  <si>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</si>
  <si>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</si>
  <si>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</si>
  <si>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</si>
  <si>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</si>
  <si>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</si>
  <si>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</si>
  <si>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</si>
  <si>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</si>
  <si>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</si>
  <si>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</si>
  <si>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</si>
  <si>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</si>
  <si>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</si>
  <si>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</si>
  <si>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</si>
  <si>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</si>
  <si>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</si>
  <si>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</si>
  <si>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</si>
  <si>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</si>
  <si>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</si>
  <si>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</si>
  <si>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</si>
  <si>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</si>
  <si>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</si>
  <si>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</si>
  <si>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</si>
  <si>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</si>
  <si>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</si>
  <si>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</si>
  <si>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</si>
  <si>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</si>
  <si>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</si>
  <si>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</si>
  <si>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</si>
  <si>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</si>
  <si>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</si>
  <si>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</si>
  <si>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</si>
  <si>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</si>
  <si>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</si>
  <si>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</si>
  <si>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</si>
  <si>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</si>
  <si>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</si>
  <si>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</si>
  <si>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</si>
  <si>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</si>
  <si>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</si>
  <si>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</si>
  <si>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</si>
  <si>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</si>
  <si>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</si>
  <si>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</si>
  <si>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</si>
  <si>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</si>
  <si>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</si>
  <si>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</si>
  <si>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</si>
  <si>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</si>
  <si>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</si>
  <si>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</si>
  <si>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</si>
  <si>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</si>
  <si>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</si>
  <si>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</si>
  <si>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</si>
  <si>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</si>
  <si>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</si>
  <si>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</si>
  <si>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</si>
  <si>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</si>
  <si>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</si>
  <si>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</si>
  <si>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</si>
  <si>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</si>
  <si>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</si>
  <si>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</si>
  <si>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</si>
  <si>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</si>
  <si>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</si>
  <si>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</si>
  <si>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</si>
  <si>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</si>
  <si>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</si>
  <si>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</si>
  <si>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</si>
  <si>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</si>
  <si>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</si>
  <si>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</si>
  <si>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</si>
  <si>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</si>
  <si>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日報登錄</t>
    <phoneticPr fontId="4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</si>
  <si>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</si>
  <si>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</si>
  <si>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</si>
  <si>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</si>
  <si>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</si>
  <si>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</si>
  <si>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</si>
  <si>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多次
生產</t>
    <phoneticPr fontId="4" type="noConversion"/>
  </si>
  <si>
    <t>人數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</si>
  <si>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</si>
  <si>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</si>
  <si>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</si>
  <si>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</si>
  <si>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</si>
  <si>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</si>
  <si>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</si>
  <si>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</si>
  <si>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</si>
  <si>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</si>
  <si>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</si>
  <si>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</si>
  <si>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</si>
  <si>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</si>
  <si>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</si>
  <si>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</si>
  <si>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</si>
  <si>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</si>
  <si>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</si>
  <si>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</si>
  <si>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</si>
  <si>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</si>
  <si>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</si>
  <si>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</si>
  <si>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</si>
  <si>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</si>
  <si>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</si>
  <si>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</si>
  <si>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</si>
  <si>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</si>
  <si>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</si>
  <si>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項目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</si>
  <si>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</si>
  <si>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</si>
  <si>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</si>
  <si>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</si>
  <si>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</si>
  <si>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</si>
  <si>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</si>
  <si>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</si>
  <si>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</si>
  <si>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</si>
  <si>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</si>
  <si>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</si>
  <si>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</si>
  <si>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</si>
  <si>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達成率</t>
    <phoneticPr fontId="3" type="noConversion"/>
  </si>
  <si>
    <t>結束</t>
    <phoneticPr fontId="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</si>
  <si>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</si>
  <si>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</si>
  <si>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</si>
  <si>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</si>
  <si>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</si>
  <si>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</si>
  <si>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</si>
  <si>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</si>
  <si>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</si>
  <si>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</si>
  <si>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</si>
  <si>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</si>
  <si>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</si>
  <si>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</si>
  <si>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</si>
  <si>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</si>
  <si>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</si>
  <si>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</si>
  <si>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</si>
  <si>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產能差異分析</t>
    <phoneticPr fontId="4" type="noConversion"/>
  </si>
  <si>
    <t>多次生產數</t>
    <phoneticPr fontId="4" type="noConversion"/>
  </si>
  <si>
    <t>營收</t>
    <phoneticPr fontId="7" type="noConversion"/>
  </si>
  <si>
    <t>人數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</si>
  <si>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</si>
  <si>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</si>
  <si>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</si>
  <si>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</si>
  <si>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</si>
  <si>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</si>
  <si>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</si>
  <si>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</si>
  <si>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</si>
  <si>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</si>
  <si>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</si>
  <si>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</si>
  <si>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</si>
  <si>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</si>
  <si>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</si>
  <si>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</si>
  <si>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</si>
  <si>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</si>
  <si>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二配厚香料優格咖哩雞排飯</t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</si>
  <si>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</si>
  <si>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</si>
  <si>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</si>
  <si>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</si>
  <si>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</si>
  <si>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</si>
  <si>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</si>
  <si>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</si>
  <si>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</si>
  <si>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</si>
  <si>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</si>
  <si>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</si>
  <si>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</si>
  <si>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</si>
  <si>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</si>
  <si>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</si>
  <si>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</si>
  <si>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</si>
  <si>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</si>
  <si>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</si>
  <si>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</si>
  <si>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</si>
  <si>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</si>
  <si>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</si>
  <si>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</si>
  <si>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</si>
  <si>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</si>
  <si>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</si>
  <si>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</si>
  <si>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</si>
  <si>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</si>
  <si>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</si>
  <si>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</si>
  <si>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</si>
  <si>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</si>
  <si>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</si>
  <si>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</si>
  <si>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</si>
  <si>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</si>
  <si>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</si>
  <si>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</si>
  <si>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</si>
  <si>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</si>
  <si>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</si>
  <si>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</si>
  <si>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</si>
  <si>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</si>
  <si>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</si>
  <si>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</si>
  <si>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</si>
  <si>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</si>
  <si>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</si>
  <si>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</si>
  <si>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</si>
  <si>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</si>
  <si>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</si>
  <si>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</si>
  <si>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</si>
  <si>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</si>
  <si>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</si>
  <si>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</si>
  <si>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</si>
  <si>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</si>
  <si>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</si>
  <si>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</si>
  <si>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</si>
  <si>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</si>
  <si>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</si>
  <si>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</si>
  <si>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</si>
  <si>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</si>
  <si>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</si>
  <si>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</si>
  <si>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</si>
  <si>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</si>
  <si>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</si>
  <si>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</si>
  <si>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</si>
  <si>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</si>
  <si>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</si>
  <si>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</si>
  <si>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</si>
  <si>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</si>
  <si>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</si>
  <si>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</si>
  <si>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</si>
  <si>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</si>
  <si>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</si>
  <si>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</si>
  <si>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</si>
  <si>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</si>
  <si>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</si>
  <si>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</si>
  <si>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</si>
  <si>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</si>
  <si>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</si>
  <si>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</si>
  <si>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</si>
  <si>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香菇雞粥</t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</si>
  <si>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</si>
  <si>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</si>
  <si>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</si>
  <si>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</si>
  <si>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</si>
  <si>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</si>
  <si>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</si>
  <si>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</si>
  <si>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</si>
  <si>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</si>
  <si>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</si>
  <si>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</si>
  <si>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</si>
  <si>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</si>
  <si>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</si>
  <si>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</si>
  <si>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</si>
  <si>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</si>
  <si>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</si>
  <si>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</si>
  <si>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</si>
  <si>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</si>
  <si>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</si>
  <si>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</si>
  <si>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</si>
  <si>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</si>
  <si>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</si>
  <si>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</si>
  <si>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</si>
  <si>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</si>
  <si>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</si>
  <si>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</si>
  <si>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</si>
  <si>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</si>
  <si>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</si>
  <si>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</si>
  <si>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</si>
  <si>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</si>
  <si>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</si>
  <si>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</si>
  <si>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</si>
  <si>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</si>
  <si>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</si>
  <si>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</si>
  <si>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</si>
  <si>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</si>
  <si>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</si>
  <si>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</si>
  <si>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</si>
  <si>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</si>
  <si>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</si>
  <si>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</si>
  <si>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</si>
  <si>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</si>
  <si>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</si>
  <si>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</si>
  <si>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</si>
  <si>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</si>
  <si>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</si>
  <si>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</si>
  <si>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</si>
  <si>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</si>
  <si>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</si>
  <si>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</si>
  <si>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</si>
  <si>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</si>
  <si>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</si>
  <si>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</si>
  <si>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</si>
  <si>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</si>
  <si>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</si>
  <si>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</si>
  <si>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</si>
  <si>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</si>
  <si>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</si>
  <si>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</si>
  <si>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</si>
  <si>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</si>
  <si>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</si>
  <si>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</si>
  <si>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</si>
  <si>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</si>
  <si>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</si>
  <si>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</si>
  <si>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</si>
  <si>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</si>
  <si>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廠價</t>
    <phoneticPr fontId="7" type="noConversion"/>
  </si>
  <si>
    <t>生產量</t>
    <phoneticPr fontId="4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</si>
  <si>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</si>
  <si>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</si>
  <si>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</si>
  <si>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</si>
  <si>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</si>
  <si>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</si>
  <si>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</si>
  <si>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</si>
  <si>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</si>
  <si>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</si>
  <si>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</si>
  <si>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</si>
  <si>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</si>
  <si>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</si>
  <si>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</si>
  <si>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</si>
  <si>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</si>
  <si>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</si>
  <si>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</si>
  <si>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</si>
  <si>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</si>
  <si>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</si>
  <si>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</si>
  <si>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</si>
  <si>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</si>
  <si>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</si>
  <si>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</si>
  <si>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</si>
  <si>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</si>
  <si>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</si>
  <si>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</si>
  <si>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</si>
  <si>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</si>
  <si>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</si>
  <si>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</si>
  <si>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</si>
  <si>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</si>
  <si>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</si>
  <si>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</si>
  <si>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</si>
  <si>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</si>
  <si>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</si>
  <si>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</si>
  <si>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</si>
  <si>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</si>
  <si>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</si>
  <si>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</si>
  <si>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</si>
  <si>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</si>
  <si>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</si>
  <si>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</si>
  <si>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</si>
  <si>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</si>
  <si>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</si>
  <si>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</si>
  <si>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</si>
  <si>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</si>
  <si>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</si>
  <si>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</si>
  <si>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</si>
  <si>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</si>
  <si>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</si>
  <si>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</si>
  <si>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</si>
  <si>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</si>
  <si>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</si>
  <si>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</si>
  <si>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</si>
  <si>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</si>
  <si>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</si>
  <si>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</si>
  <si>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</si>
  <si>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</si>
  <si>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</si>
  <si>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</si>
  <si>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</si>
  <si>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</si>
  <si>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</si>
  <si>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</si>
  <si>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</si>
  <si>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</si>
  <si>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</si>
  <si>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</si>
  <si>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</si>
  <si>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</si>
  <si>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</si>
  <si>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</si>
  <si>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</si>
  <si>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</si>
  <si>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</si>
  <si>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</si>
  <si>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</si>
  <si>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</si>
  <si>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</si>
  <si>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</si>
  <si>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</si>
  <si>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</si>
  <si>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</si>
  <si>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</si>
  <si>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</si>
  <si>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</si>
  <si>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</si>
  <si>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</si>
  <si>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</si>
  <si>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</si>
  <si>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</si>
  <si>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</si>
  <si>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</si>
  <si>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</si>
  <si>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</si>
  <si>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</si>
  <si>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</si>
  <si>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</si>
  <si>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</si>
  <si>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</si>
  <si>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</si>
  <si>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</si>
  <si>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</si>
  <si>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</si>
  <si>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</si>
  <si>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</si>
  <si>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</si>
  <si>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新豐1線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</si>
  <si>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</si>
  <si>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</si>
  <si>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</si>
  <si>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</si>
  <si>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</si>
  <si>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</si>
  <si>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</si>
  <si>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</si>
  <si>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</si>
  <si>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</si>
  <si>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</si>
  <si>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</si>
  <si>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</si>
  <si>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</si>
  <si>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</si>
  <si>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</si>
  <si>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</si>
  <si>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</si>
  <si>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</si>
  <si>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</si>
  <si>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</si>
  <si>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</si>
  <si>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</si>
  <si>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</si>
  <si>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</si>
  <si>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</si>
  <si>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</si>
  <si>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</si>
  <si>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</si>
  <si>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</si>
  <si>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</si>
  <si>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</si>
  <si>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</si>
  <si>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</si>
  <si>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</si>
  <si>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</si>
  <si>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</si>
  <si>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</si>
  <si>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</si>
  <si>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</si>
  <si>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</si>
  <si>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</si>
  <si>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</si>
  <si>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</si>
  <si>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</si>
  <si>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</si>
  <si>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</si>
  <si>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</si>
  <si>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</si>
  <si>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</si>
  <si>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</si>
  <si>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</si>
  <si>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</si>
  <si>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</si>
  <si>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</si>
  <si>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</si>
  <si>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</si>
  <si>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</si>
  <si>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</si>
  <si>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</si>
  <si>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</si>
  <si>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</si>
  <si>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</si>
  <si>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</si>
  <si>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</si>
  <si>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</si>
  <si>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</si>
  <si>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</si>
  <si>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</si>
  <si>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</si>
  <si>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</si>
  <si>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</si>
  <si>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</si>
  <si>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</si>
  <si>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</si>
  <si>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</si>
  <si>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</si>
  <si>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</si>
  <si>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</si>
  <si>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</si>
  <si>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</si>
  <si>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</si>
  <si>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</si>
  <si>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</si>
  <si>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</si>
  <si>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</si>
  <si>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</si>
  <si>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</si>
  <si>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</si>
  <si>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</si>
  <si>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</si>
  <si>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</si>
  <si>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</si>
  <si>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</si>
  <si>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</si>
  <si>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</si>
  <si>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</si>
  <si>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</si>
  <si>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</si>
  <si>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</si>
  <si>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</si>
  <si>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</si>
  <si>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</si>
  <si>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</si>
  <si>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</si>
  <si>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</si>
  <si>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</si>
  <si>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</si>
  <si>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</si>
  <si>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</si>
  <si>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</si>
  <si>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</si>
  <si>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</si>
  <si>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</si>
  <si>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</si>
  <si>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</si>
  <si>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</si>
  <si>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</si>
  <si>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</si>
  <si>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</si>
  <si>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</si>
  <si>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</si>
  <si>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</si>
  <si>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</si>
  <si>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</si>
  <si>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</si>
  <si>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</si>
  <si>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</si>
  <si>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</si>
  <si>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</si>
  <si>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</si>
  <si>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</si>
  <si>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</si>
  <si>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</si>
  <si>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</si>
  <si>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</si>
  <si>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</si>
  <si>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</si>
  <si>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</si>
  <si>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</si>
  <si>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</si>
  <si>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</si>
  <si>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</si>
  <si>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</si>
  <si>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</si>
  <si>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</si>
  <si>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</si>
  <si>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</si>
  <si>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</si>
  <si>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</si>
  <si>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</si>
  <si>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</si>
  <si>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</si>
  <si>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</si>
  <si>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</si>
  <si>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</si>
  <si>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</si>
  <si>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</si>
  <si>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</si>
  <si>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</si>
  <si>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</si>
  <si>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</si>
  <si>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</si>
  <si>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</si>
  <si>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</si>
  <si>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</si>
  <si>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</si>
  <si>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</si>
  <si>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</si>
  <si>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</si>
  <si>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</si>
  <si>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</si>
  <si>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</si>
  <si>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</si>
  <si>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</si>
  <si>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</si>
  <si>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</si>
  <si>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</si>
  <si>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</si>
  <si>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</si>
  <si>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</si>
  <si>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</si>
  <si>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</si>
  <si>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</si>
  <si>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</si>
  <si>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</si>
  <si>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</si>
  <si>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</si>
  <si>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</si>
  <si>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</si>
  <si>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</si>
  <si>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</si>
  <si>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</si>
  <si>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</si>
  <si>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</si>
  <si>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</si>
  <si>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</si>
  <si>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</si>
  <si>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</si>
  <si>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</si>
  <si>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</si>
  <si>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</si>
  <si>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香菇雞燉湯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</si>
  <si>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</si>
  <si>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</si>
  <si>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</si>
  <si>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</si>
  <si>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</si>
  <si>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</si>
  <si>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</si>
  <si>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</si>
  <si>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</si>
  <si>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</si>
  <si>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</si>
  <si>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</si>
  <si>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</si>
  <si>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</si>
  <si>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</si>
  <si>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</si>
  <si>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</si>
  <si>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</si>
  <si>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</si>
  <si>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</si>
  <si>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</si>
  <si>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</si>
  <si>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</si>
  <si>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</si>
  <si>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</si>
  <si>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</si>
  <si>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</si>
  <si>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</si>
  <si>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</si>
  <si>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</si>
  <si>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</si>
  <si>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</si>
  <si>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</si>
  <si>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</si>
  <si>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</si>
  <si>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</si>
  <si>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</si>
  <si>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</si>
  <si>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</si>
  <si>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</si>
  <si>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</si>
  <si>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</si>
  <si>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</si>
  <si>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</si>
  <si>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</si>
  <si>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</si>
  <si>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</si>
  <si>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</si>
  <si>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</si>
  <si>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</si>
  <si>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</si>
  <si>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</si>
  <si>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</si>
  <si>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</si>
  <si>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合計
次數</t>
    <phoneticPr fontId="4" type="noConversion"/>
  </si>
  <si>
    <t>合計
時間/分</t>
    <phoneticPr fontId="3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</si>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</sst>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32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178" fontId="12" fillId="0" borderId="7" xfId="2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81" fontId="6" fillId="0" borderId="5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6" fillId="0" borderId="0" xfId="1" applyFont="1" applyAlignment="1">
      <alignment vertical="center" wrapText="1"/>
    </xf>
    <xf numFmtId="176" fontId="2" fillId="0" borderId="5" xfId="1" applyNumberFormat="1" applyFont="1" applyFill="1" applyBorder="1" applyAlignment="1">
      <alignment horizontal="left" vertical="center"/>
    </xf>
    <xf numFmtId="176" fontId="2" fillId="0" borderId="6" xfId="1" applyNumberFormat="1" applyFont="1" applyFill="1" applyBorder="1">
      <alignment vertical="center"/>
    </xf>
    <xf numFmtId="0" fontId="6" fillId="0" borderId="1" xfId="1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177" fontId="6" fillId="0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3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center" vertical="center" wrapText="1"/>
    </xf>
    <xf numFmtId="181" fontId="6" fillId="0" borderId="1" xfId="1" applyNumberFormat="1" applyFont="1" applyFill="1" applyBorder="1" applyAlignment="1">
      <alignment horizontal="center" vertical="center"/>
    </xf>
    <xf numFmtId="182" fontId="6" fillId="0" borderId="1" xfId="1" applyNumberFormat="1" applyFont="1" applyFill="1" applyBorder="1" applyAlignment="1">
      <alignment horizontal="center" vertical="center"/>
    </xf>
    <xf numFmtId="0" fontId="16" fillId="0" borderId="0" xfId="5" applyFont="1" applyAlignment="1">
      <alignment vertical="center"/>
    </xf>
    <xf numFmtId="0" fontId="6" fillId="0" borderId="0" xfId="5" applyFont="1">
      <alignment vertical="center"/>
    </xf>
    <xf numFmtId="0" fontId="16" fillId="0" borderId="0" xfId="5" applyFont="1" applyBorder="1" applyAlignme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 applyBorder="1" applyAlignment="1">
      <alignment vertical="center"/>
    </xf>
    <xf numFmtId="0" fontId="24" fillId="0" borderId="0" xfId="6" applyFont="1" applyBorder="1" applyAlignme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Fill="1" applyBorder="1" applyAlignment="1">
      <alignment horizontal="center" vertical="center" wrapText="1"/>
    </xf>
    <xf numFmtId="177" fontId="6" fillId="0" borderId="32" xfId="5" applyNumberFormat="1" applyFont="1" applyFill="1" applyBorder="1" applyAlignment="1">
      <alignment horizontal="center" vertical="center" wrapText="1"/>
    </xf>
    <xf numFmtId="177" fontId="6" fillId="0" borderId="27" xfId="5" applyNumberFormat="1" applyFont="1" applyFill="1" applyBorder="1" applyAlignment="1">
      <alignment horizontal="center" vertical="center" wrapText="1"/>
    </xf>
    <xf numFmtId="177" fontId="6" fillId="0" borderId="28" xfId="5" applyNumberFormat="1" applyFont="1" applyFill="1" applyBorder="1" applyAlignment="1">
      <alignment horizontal="center" vertical="center" wrapText="1"/>
    </xf>
    <xf numFmtId="177" fontId="6" fillId="0" borderId="33" xfId="5" applyNumberFormat="1" applyFont="1" applyFill="1" applyBorder="1" applyAlignment="1">
      <alignment horizontal="center" vertical="center" wrapText="1"/>
    </xf>
    <xf numFmtId="177" fontId="6" fillId="0" borderId="34" xfId="5" applyNumberFormat="1" applyFont="1" applyFill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Fill="1" applyBorder="1" applyAlignment="1">
      <alignment horizontal="center" vertical="center"/>
    </xf>
    <xf numFmtId="177" fontId="26" fillId="0" borderId="27" xfId="5" applyNumberFormat="1" applyFont="1" applyFill="1" applyBorder="1" applyAlignment="1">
      <alignment horizontal="center" vertical="center"/>
    </xf>
    <xf numFmtId="177" fontId="26" fillId="0" borderId="28" xfId="5" applyNumberFormat="1" applyFont="1" applyFill="1" applyBorder="1" applyAlignment="1">
      <alignment horizontal="center" vertical="center"/>
    </xf>
    <xf numFmtId="177" fontId="26" fillId="0" borderId="33" xfId="5" applyNumberFormat="1" applyFont="1" applyFill="1" applyBorder="1" applyAlignment="1">
      <alignment horizontal="center" vertical="center"/>
    </xf>
    <xf numFmtId="177" fontId="26" fillId="0" borderId="34" xfId="5" applyNumberFormat="1" applyFont="1" applyFill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Fill="1" applyBorder="1" applyAlignment="1">
      <alignment horizontal="center" vertical="center"/>
    </xf>
    <xf numFmtId="181" fontId="6" fillId="0" borderId="1" xfId="6" applyNumberFormat="1" applyFont="1" applyFill="1" applyBorder="1" applyAlignment="1">
      <alignment horizontal="center" vertical="center"/>
    </xf>
    <xf numFmtId="181" fontId="6" fillId="0" borderId="30" xfId="6" applyNumberFormat="1" applyFont="1" applyFill="1" applyBorder="1" applyAlignment="1">
      <alignment horizontal="center" vertical="center"/>
    </xf>
    <xf numFmtId="181" fontId="6" fillId="0" borderId="37" xfId="9" applyNumberFormat="1" applyFont="1" applyFill="1" applyBorder="1" applyAlignment="1">
      <alignment horizontal="center" vertical="center"/>
    </xf>
    <xf numFmtId="181" fontId="6" fillId="0" borderId="1" xfId="9" applyNumberFormat="1" applyFont="1" applyFill="1" applyBorder="1" applyAlignment="1">
      <alignment horizontal="center" vertical="center"/>
    </xf>
    <xf numFmtId="181" fontId="6" fillId="0" borderId="30" xfId="9" applyNumberFormat="1" applyFont="1" applyFill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Fill="1" applyBorder="1" applyAlignment="1">
      <alignment horizontal="center" vertical="center"/>
    </xf>
    <xf numFmtId="1" fontId="6" fillId="0" borderId="2" xfId="5" applyNumberFormat="1" applyFont="1" applyFill="1" applyBorder="1" applyAlignment="1">
      <alignment horizontal="center" vertical="center"/>
    </xf>
    <xf numFmtId="1" fontId="6" fillId="0" borderId="41" xfId="5" applyNumberFormat="1" applyFont="1" applyFill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 wrapText="1"/>
    </xf>
    <xf numFmtId="178" fontId="12" fillId="0" borderId="7" xfId="2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0" xfId="1" applyFont="1" applyFill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1" fillId="0" borderId="0" xfId="1" applyFont="1" applyFill="1">
      <alignment vertical="center"/>
    </xf>
    <xf numFmtId="176" fontId="2" fillId="15" borderId="5" xfId="1" applyNumberFormat="1" applyFont="1" applyFill="1" applyBorder="1" applyAlignment="1">
      <alignment horizontal="left" vertical="center"/>
    </xf>
    <xf numFmtId="176" fontId="2" fillId="15" borderId="6" xfId="1" applyNumberFormat="1" applyFont="1" applyFill="1" applyBorder="1">
      <alignment vertical="center"/>
    </xf>
    <xf numFmtId="0" fontId="6" fillId="15" borderId="1" xfId="1" applyFont="1" applyFill="1" applyBorder="1" applyAlignment="1">
      <alignment horizontal="center"/>
    </xf>
    <xf numFmtId="0" fontId="6" fillId="15" borderId="1" xfId="1" applyFont="1" applyFill="1" applyBorder="1" applyAlignment="1">
      <alignment horizontal="center" vertical="center"/>
    </xf>
    <xf numFmtId="0" fontId="6" fillId="15" borderId="1" xfId="1" applyFont="1" applyFill="1" applyBorder="1" applyAlignment="1">
      <alignment horizontal="center" vertical="center" wrapText="1"/>
    </xf>
    <xf numFmtId="1" fontId="6" fillId="15" borderId="1" xfId="1" applyNumberFormat="1" applyFont="1" applyFill="1" applyBorder="1" applyAlignment="1">
      <alignment horizontal="center" vertical="center"/>
    </xf>
    <xf numFmtId="181" fontId="6" fillId="15" borderId="1" xfId="1" applyNumberFormat="1" applyFont="1" applyFill="1" applyBorder="1" applyAlignment="1">
      <alignment horizontal="center" vertical="center"/>
    </xf>
    <xf numFmtId="182" fontId="6" fillId="15" borderId="1" xfId="1" applyNumberFormat="1" applyFont="1" applyFill="1" applyBorder="1" applyAlignment="1">
      <alignment horizontal="center" vertical="center"/>
    </xf>
    <xf numFmtId="0" fontId="6" fillId="15" borderId="1" xfId="1" applyFont="1" applyFill="1" applyBorder="1" applyAlignment="1"/>
    <xf numFmtId="177" fontId="6" fillId="15" borderId="1" xfId="1" applyNumberFormat="1" applyFont="1" applyFill="1" applyBorder="1" applyAlignment="1">
      <alignment horizontal="center" vertical="center"/>
    </xf>
    <xf numFmtId="0" fontId="6" fillId="15" borderId="6" xfId="1" applyFont="1" applyFill="1" applyBorder="1" applyAlignment="1"/>
    <xf numFmtId="3" fontId="6" fillId="15" borderId="1" xfId="1" applyNumberFormat="1" applyFont="1" applyFill="1" applyBorder="1" applyAlignment="1">
      <alignment horizontal="center" vertical="center"/>
    </xf>
    <xf numFmtId="0" fontId="6" fillId="15" borderId="5" xfId="1" applyFont="1" applyFill="1" applyBorder="1" applyAlignment="1">
      <alignment horizontal="left" vertical="center"/>
    </xf>
    <xf numFmtId="0" fontId="6" fillId="15" borderId="6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/>
    </xf>
    <xf numFmtId="0" fontId="6" fillId="11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0" borderId="5" xfId="3" applyFont="1" applyFill="1" applyBorder="1" applyAlignment="1">
      <alignment horizontal="left"/>
    </xf>
    <xf numFmtId="0" fontId="6" fillId="0" borderId="6" xfId="3" applyFont="1" applyFill="1" applyBorder="1" applyAlignment="1">
      <alignment horizontal="left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15" borderId="1" xfId="1" applyFont="1" applyFill="1" applyBorder="1" applyAlignment="1">
      <alignment horizontal="left" vertical="center"/>
    </xf>
    <xf numFmtId="0" fontId="6" fillId="15" borderId="5" xfId="1" applyFont="1" applyFill="1" applyBorder="1" applyAlignment="1">
      <alignment horizontal="left" vertical="center"/>
    </xf>
    <xf numFmtId="0" fontId="6" fillId="15" borderId="6" xfId="1" applyFont="1" applyFill="1" applyBorder="1" applyAlignment="1">
      <alignment horizontal="left" vertical="center"/>
    </xf>
    <xf numFmtId="0" fontId="6" fillId="15" borderId="5" xfId="1" applyFont="1" applyFill="1" applyBorder="1" applyAlignment="1"/>
    <xf numFmtId="0" fontId="6" fillId="15" borderId="6" xfId="1" applyFont="1" applyFill="1" applyBorder="1" applyAlignment="1"/>
    <xf numFmtId="0" fontId="6" fillId="15" borderId="1" xfId="1" applyFont="1" applyFill="1" applyBorder="1" applyAlignment="1"/>
    <xf numFmtId="0" fontId="6" fillId="15" borderId="1" xfId="1" applyFont="1" applyFill="1" applyBorder="1" applyAlignment="1">
      <alignment horizontal="left"/>
    </xf>
    <xf numFmtId="0" fontId="6" fillId="15" borderId="5" xfId="3" applyFont="1" applyFill="1" applyBorder="1" applyAlignment="1">
      <alignment horizontal="left"/>
    </xf>
    <xf numFmtId="0" fontId="6" fillId="15" borderId="6" xfId="3" applyFont="1" applyFill="1" applyBorder="1" applyAlignment="1">
      <alignment horizontal="left"/>
    </xf>
    <xf numFmtId="0" fontId="6" fillId="15" borderId="1" xfId="3" applyFont="1" applyFill="1" applyBorder="1" applyAlignment="1">
      <alignment horizontal="left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</cellXfs>
  <cellStyles count="10">
    <cellStyle name="一般" xfId="0" builtinId="0"/>
    <cellStyle name="一般 2 17 2" xfId="8"/>
    <cellStyle name="一般 2 2 2" xfId="6"/>
    <cellStyle name="一般 2 2 29" xfId="9"/>
    <cellStyle name="一般 2 2 7" xfId="1"/>
    <cellStyle name="一般 2 4" xfId="3"/>
    <cellStyle name="一般 2 8" xfId="2"/>
    <cellStyle name="一般 3" xfId="5"/>
    <cellStyle name="千分位 2" xfId="7"/>
    <cellStyle name="百分比 2" xfId="4"/>
  </cellStyles>
  <dxfs count="1733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abSelected="1" zoomScale="85" zoomScaleNormal="85" workbookViewId="0">
      <selection sqref="A1:XFD1048576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3038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3039</v>
      </c>
      <c r="C3" s="555" t="str">
        <f>TEXT('0531 4度C'!A2,"yyyy.mm.ddaaaa")</f>
        <v>2026.05.31星期日</v>
      </c>
      <c r="D3" s="556"/>
      <c r="E3" s="54" t="s">
        <v>3040</v>
      </c>
      <c r="F3" s="557">
        <f>'0531 4度C'!D1</f>
        <v>207773</v>
      </c>
      <c r="G3" s="558"/>
      <c r="H3" s="54" t="s">
        <v>3041</v>
      </c>
      <c r="I3" s="559">
        <f>'0531 4度C'!F1</f>
        <v>7052754.6599999983</v>
      </c>
      <c r="J3" s="560"/>
      <c r="K3" s="55"/>
      <c r="L3" s="56"/>
      <c r="M3" s="57"/>
      <c r="N3" s="57"/>
    </row>
    <row r="4" spans="2:17" ht="28.5" customHeight="1">
      <c r="B4" s="561" t="s">
        <v>3042</v>
      </c>
      <c r="C4" s="547" t="s">
        <v>3043</v>
      </c>
      <c r="D4" s="548"/>
      <c r="E4" s="564" t="s">
        <v>3044</v>
      </c>
      <c r="F4" s="565"/>
      <c r="G4" s="564" t="s">
        <v>3045</v>
      </c>
      <c r="H4" s="565"/>
      <c r="I4" s="564" t="s">
        <v>3046</v>
      </c>
      <c r="J4" s="565"/>
      <c r="K4" s="545" t="s">
        <v>3047</v>
      </c>
      <c r="L4" s="546"/>
      <c r="M4" s="546" t="s">
        <v>3048</v>
      </c>
      <c r="N4" s="546"/>
    </row>
    <row r="5" spans="2:17" ht="28.5" customHeight="1">
      <c r="B5" s="562"/>
      <c r="C5" s="547" t="s">
        <v>3049</v>
      </c>
      <c r="D5" s="548"/>
      <c r="E5" s="547" t="s">
        <v>3050</v>
      </c>
      <c r="F5" s="548"/>
      <c r="G5" s="549" t="s">
        <v>3051</v>
      </c>
      <c r="H5" s="550"/>
      <c r="I5" s="551" t="s">
        <v>3052</v>
      </c>
      <c r="J5" s="552"/>
      <c r="K5" s="58" t="s">
        <v>3053</v>
      </c>
      <c r="L5" s="59" t="s">
        <v>143</v>
      </c>
      <c r="M5" s="58" t="s">
        <v>3054</v>
      </c>
      <c r="N5" s="59" t="s">
        <v>3055</v>
      </c>
    </row>
    <row r="6" spans="2:17" ht="28.5" customHeight="1">
      <c r="B6" s="562"/>
      <c r="C6" s="547" t="s">
        <v>145</v>
      </c>
      <c r="D6" s="548"/>
      <c r="E6" s="539">
        <f>AVERAGE(D13:M13)</f>
        <v>153.31265229711869</v>
      </c>
      <c r="F6" s="540">
        <f>AVERAGE(D31:O31,D13:J13)</f>
        <v>159.82898570034695</v>
      </c>
      <c r="G6" s="541">
        <f>AVERAGE(D13:J13)</f>
        <v>159.82898570034695</v>
      </c>
      <c r="H6" s="542"/>
      <c r="I6" s="541">
        <f>AVERAGE(K13:M13)</f>
        <v>138.10787435625272</v>
      </c>
      <c r="J6" s="542"/>
      <c r="K6" s="543">
        <f>'0531 4度C'!Y2</f>
        <v>0</v>
      </c>
      <c r="L6" s="528">
        <f>'0531 4度C'!Z2</f>
        <v>0</v>
      </c>
      <c r="M6" s="544">
        <f>'0531 4度C'!AC2</f>
        <v>62</v>
      </c>
      <c r="N6" s="528">
        <f>'0531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146.70970360437423</v>
      </c>
      <c r="F7" s="532">
        <f>AVERAGE(D32:O32,D14:J14)</f>
        <v>152.97717235324731</v>
      </c>
      <c r="G7" s="533">
        <f>AVERAGE(D14:J14)</f>
        <v>152.97717235324731</v>
      </c>
      <c r="H7" s="534"/>
      <c r="I7" s="533">
        <f>AVERAGE(K14:M14)</f>
        <v>132.08560985700367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0.95676796586438217</v>
      </c>
      <c r="F8" s="536">
        <f>AVERAGE(D15:J15,D33:O33)</f>
        <v>0.95695169768969335</v>
      </c>
      <c r="G8" s="537">
        <f>AVERAGE(D15:J15)</f>
        <v>0.95695169768969335</v>
      </c>
      <c r="H8" s="538"/>
      <c r="I8" s="537">
        <f>AVERAGE(K15:M15)</f>
        <v>0.95633925827198973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3056</v>
      </c>
      <c r="N9" s="57"/>
      <c r="O9" s="57"/>
      <c r="P9" s="57"/>
      <c r="Q9" s="57"/>
    </row>
    <row r="10" spans="2:17" ht="30" customHeight="1">
      <c r="B10" s="511" t="s">
        <v>3057</v>
      </c>
      <c r="C10" s="512"/>
      <c r="D10" s="513" t="s">
        <v>3058</v>
      </c>
      <c r="E10" s="514"/>
      <c r="F10" s="514"/>
      <c r="G10" s="514"/>
      <c r="H10" s="514"/>
      <c r="I10" s="514"/>
      <c r="J10" s="515"/>
      <c r="K10" s="516" t="s">
        <v>3059</v>
      </c>
      <c r="L10" s="517"/>
      <c r="M10" s="518"/>
      <c r="P10" s="63"/>
      <c r="Q10" s="63"/>
    </row>
    <row r="11" spans="2:17" ht="17.25" customHeight="1">
      <c r="B11" s="519" t="s">
        <v>3060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3062</v>
      </c>
      <c r="C13" s="70" t="s">
        <v>3063</v>
      </c>
      <c r="D13" s="71">
        <f>SUMIFS('0531 4度C'!$K:$K,'0531 4度C'!$A:$A,"新豐6線",'0531 4度C'!$B:$B,"平均")</f>
        <v>129.03225806451613</v>
      </c>
      <c r="E13" s="72">
        <f>SUMIFS('0531 4度C'!$K:$K,'0531 4度C'!$A:$A,"新豐2線",'0531 4度C'!$B:$B,"平均")</f>
        <v>85.22727272727272</v>
      </c>
      <c r="F13" s="73">
        <f>SUMIFS('0531 4度C'!$K:$K,'0531 4度C'!$A:$A,"新豐5線",'0531 4度C'!$B:$B,"平均")</f>
        <v>95.205479452054789</v>
      </c>
      <c r="G13" s="73">
        <f>SUMIFS('0531 4度C'!$K:$K,'0531 4度C'!$A:$A,"新豐7線",'0531 4度C'!$B:$B,"平均")</f>
        <v>125</v>
      </c>
      <c r="H13" s="73">
        <f>SUMIFS('0531 4度C'!$K:$K,'0531 4度C'!$A:$A,"新豐3線",'0531 4度C'!$B:$B,"平均")</f>
        <v>255.81395348837211</v>
      </c>
      <c r="I13" s="73">
        <f>SUMIFS('0531 4度C'!$K:$K,'0531 4度C'!$A:$A,"新豐1線",'0531 4度C'!$B:$B,"平均")</f>
        <v>109.375</v>
      </c>
      <c r="J13" s="74">
        <f>SUMIFS('0531 4度C'!$K:$K,'0531 4度C'!$A:$A,"新豐10線",'0531 4度C'!$B:$B,"平均")</f>
        <v>319.14893617021278</v>
      </c>
      <c r="K13" s="75">
        <f>SUMIFS('0531 4度C'!$K:$K,'0531 4度C'!$A:$A,"新豐8線",'0531 4度C'!$B:$B,"平均")</f>
        <v>137.70491803278691</v>
      </c>
      <c r="L13" s="76">
        <f>SUMIFS('0531 4度C'!$K:$K,'0531 4度C'!$A:$A,"新豐9線",'0531 4度C'!$B:$B,"平均")</f>
        <v>126.61870503597122</v>
      </c>
      <c r="M13" s="74">
        <f>SUMIFS('0531 4度C'!$K:$K,'0531 4度C'!$A:$A,"新豐4線",'0531 4度C'!$B:$B,"平均")</f>
        <v>150</v>
      </c>
    </row>
    <row r="14" spans="2:17" ht="39.6" customHeight="1">
      <c r="B14" s="524"/>
      <c r="C14" s="77" t="s">
        <v>3064</v>
      </c>
      <c r="D14" s="78">
        <f>SUMIFS('0531 4度C'!$N:$N,'0531 4度C'!$A:$A,"新豐6線",'0531 4度C'!$B:$B,"平均")</f>
        <v>123.47451384453278</v>
      </c>
      <c r="E14" s="79">
        <f>SUMIFS('0531 4度C'!$N:$N,'0531 4度C'!$A:$A,"新豐2線",'0531 4度C'!$B:$B,"平均")</f>
        <v>81.393917359510525</v>
      </c>
      <c r="F14" s="79">
        <f>SUMIFS('0531 4度C'!$N:$N,'0531 4度C'!$A:$A,"新豐5線",'0531 4度C'!$B:$B,"平均")</f>
        <v>91.223383433128987</v>
      </c>
      <c r="G14" s="79">
        <f>SUMIFS('0531 4度C'!$N:$N,'0531 4度C'!$A:$A,"新豐7線",'0531 4度C'!$B:$B,"平均")</f>
        <v>119.4147283391237</v>
      </c>
      <c r="H14" s="79">
        <f>SUMIFS('0531 4度C'!$N:$N,'0531 4度C'!$A:$A,"新豐3線",'0531 4度C'!$B:$B,"平均")</f>
        <v>244.52157115395042</v>
      </c>
      <c r="I14" s="79">
        <f>SUMIFS('0531 4度C'!$N:$N,'0531 4度C'!$A:$A,"新豐1線",'0531 4度C'!$B:$B,"平均")</f>
        <v>104.85900211820808</v>
      </c>
      <c r="J14" s="80">
        <f>SUMIFS('0531 4度C'!$N:$N,'0531 4度C'!$A:$A,"新豐10線",'0531 4度C'!$B:$B,"平均")</f>
        <v>305.95309022427665</v>
      </c>
      <c r="K14" s="81">
        <f>SUMIFS('0531 4度C'!$N:$N,'0531 4度C'!$A:$A,"新豐8線",'0531 4度C'!$B:$B,"平均")</f>
        <v>131.45683703578931</v>
      </c>
      <c r="L14" s="82">
        <f>SUMIFS('0531 4度C'!$N:$N,'0531 4度C'!$A:$A,"新豐9線",'0531 4度C'!$B:$B,"平均")</f>
        <v>121.08052167282897</v>
      </c>
      <c r="M14" s="80">
        <f>SUMIFS('0531 4度C'!$N:$N,'0531 4度C'!$A:$A,"新豐4線",'0531 4度C'!$B:$B,"平均")</f>
        <v>143.7194708623928</v>
      </c>
    </row>
    <row r="15" spans="2:17" ht="40.15" customHeight="1">
      <c r="B15" s="525"/>
      <c r="C15" s="83" t="s">
        <v>3065</v>
      </c>
      <c r="D15" s="84">
        <f t="shared" ref="D15:M15" si="0">D14/D13</f>
        <v>0.95692748229512903</v>
      </c>
      <c r="E15" s="85">
        <f t="shared" si="0"/>
        <v>0.95502196368492354</v>
      </c>
      <c r="F15" s="85">
        <f t="shared" si="0"/>
        <v>0.95817366771488011</v>
      </c>
      <c r="G15" s="85">
        <f t="shared" si="0"/>
        <v>0.95531782671298959</v>
      </c>
      <c r="H15" s="85">
        <f t="shared" si="0"/>
        <v>0.95585705087453343</v>
      </c>
      <c r="I15" s="85">
        <f t="shared" si="0"/>
        <v>0.95871087650933107</v>
      </c>
      <c r="J15" s="86">
        <f t="shared" si="0"/>
        <v>0.95865301603606679</v>
      </c>
      <c r="K15" s="84">
        <f t="shared" si="0"/>
        <v>0.95462703085513645</v>
      </c>
      <c r="L15" s="85">
        <f t="shared" si="0"/>
        <v>0.95626093821154701</v>
      </c>
      <c r="M15" s="86">
        <f t="shared" si="0"/>
        <v>0.9581298057492853</v>
      </c>
    </row>
    <row r="16" spans="2:17" ht="17.25" customHeight="1">
      <c r="B16" s="526" t="s">
        <v>3066</v>
      </c>
      <c r="C16" s="87" t="s">
        <v>3067</v>
      </c>
      <c r="D16" s="88">
        <f>VLOOKUP("新豐6線",'0531 4度C'!$A:$T,19,0)</f>
        <v>0.70833333333333337</v>
      </c>
      <c r="E16" s="89">
        <f>VLOOKUP("新豐2線",'0531 4度C'!$A:$T,19,0)</f>
        <v>8.3333333333333329E-2</v>
      </c>
      <c r="F16" s="89">
        <f>VLOOKUP("新豐5線",'0531 4度C'!$A:$T,19,0)</f>
        <v>0.20833333333333334</v>
      </c>
      <c r="G16" s="89">
        <f>VLOOKUP("新豐7線",'0531 4度C'!$A:$T,19,0)</f>
        <v>0.20833333333333334</v>
      </c>
      <c r="H16" s="89">
        <f>VLOOKUP("新豐3線",'0531 4度C'!$A:$T,19,0)</f>
        <v>8.3333333333333329E-2</v>
      </c>
      <c r="I16" s="89">
        <f>VLOOKUP("新豐1線",'0531 4度C'!$A:$T,19,0)</f>
        <v>0.20833333333333334</v>
      </c>
      <c r="J16" s="90">
        <f>VLOOKUP("新豐10線",'0531 4度C'!$A:$T,19,0)</f>
        <v>0.20833333333333334</v>
      </c>
      <c r="K16" s="91">
        <f>VLOOKUP("新豐8線",'0531 4度C'!$A:$T,19,0)</f>
        <v>8.3333333333333329E-2</v>
      </c>
      <c r="L16" s="92">
        <f>VLOOKUP("新豐9線",'0531 4度C'!$A:$T,19,0)</f>
        <v>8.3333333333333329E-2</v>
      </c>
      <c r="M16" s="93">
        <f>VLOOKUP("新豐4線",'0531 4度C'!$A:$T,19,0)</f>
        <v>8.3333333333333329E-2</v>
      </c>
    </row>
    <row r="17" spans="2:13" ht="17.25" customHeight="1">
      <c r="B17" s="527"/>
      <c r="C17" s="87" t="s">
        <v>3068</v>
      </c>
      <c r="D17" s="91">
        <f>LOOKUP(2,1/(('0531 4度C'!$A:$A="新豐6線")*('0531 4度C'!$T:$T&lt;&gt;"")),'0531 4度C'!$T:$T)</f>
        <v>0.90138888888888891</v>
      </c>
      <c r="E17" s="89">
        <f>LOOKUP(2,1/(('0531 4度C'!$A:$A="新豐2線")*('0531 4度C'!$T:$T&lt;&gt;"")),'0531 4度C'!$T:$T)</f>
        <v>0.73750000000000004</v>
      </c>
      <c r="F17" s="89">
        <f>LOOKUP(2,1/(('0531 4度C'!$A:$A="新豐5線")*('0531 4度C'!$T:$T&lt;&gt;"")),'0531 4度C'!$T:$T)</f>
        <v>0.83263888888888882</v>
      </c>
      <c r="G17" s="89">
        <f>LOOKUP(2,1/(('0531 4度C'!$A:$A="新豐7線")*('0531 4度C'!$T:$T&lt;&gt;"")),'0531 4度C'!$T:$T)</f>
        <v>0.80138888888888882</v>
      </c>
      <c r="H17" s="89">
        <f>LOOKUP(2,1/(('0531 4度C'!$A:$A="新豐3線")*('0531 4度C'!$T:$T&lt;&gt;"")),'0531 4度C'!$T:$T)</f>
        <v>0.44374999999999998</v>
      </c>
      <c r="I17" s="89">
        <f>LOOKUP(2,1/(('0531 4度C'!$A:$A="新豐1線")*('0531 4度C'!$T:$T&lt;&gt;"")),'0531 4度C'!$T:$T)</f>
        <v>0.84722222222222232</v>
      </c>
      <c r="J17" s="90">
        <f>LOOKUP(2,1/(('0531 4度C'!$A:$A="新豐10線")*('0531 4度C'!$T:$T&lt;&gt;"")),'0531 4度C'!$T:$T)</f>
        <v>0.41666666666666663</v>
      </c>
      <c r="K17" s="88">
        <f>LOOKUP(2,1/(('0531 4度C'!$A:$A="新豐8線")*('0531 4度C'!$T:$T&lt;&gt;"")),'0531 4度C'!$T:$T)</f>
        <v>0.77222222222222203</v>
      </c>
      <c r="L17" s="89">
        <f>LOOKUP(2,1/(('0531 4度C'!$A:$A="新豐9線")*('0531 4度C'!$T:$T&lt;&gt;"")),'0531 4度C'!$T:$T)</f>
        <v>0.77361111111111103</v>
      </c>
      <c r="M17" s="90">
        <f>LOOKUP(2,1/(('0531 4度C'!$A:$A="新豐4線")*('0531 4度C'!$T:$T&lt;&gt;"")),'0531 4度C'!$T:$T)</f>
        <v>0.75833333333333308</v>
      </c>
    </row>
    <row r="18" spans="2:13" ht="17.25" customHeight="1">
      <c r="B18" s="505" t="s">
        <v>3069</v>
      </c>
      <c r="C18" s="94" t="s">
        <v>3070</v>
      </c>
      <c r="D18" s="95">
        <f>SUMIFS('0531 4度C'!$Y:$Y,'0531 4度C'!$A:$A,"新豐6線",'0531 4度C'!$B:$B,"平均")</f>
        <v>0</v>
      </c>
      <c r="E18" s="96">
        <f>SUMIFS('0531 4度C'!$Y:$Y,'0531 4度C'!$A:$A,"新豐2線",'0531 4度C'!$B:$B,"平均")</f>
        <v>0</v>
      </c>
      <c r="F18" s="96">
        <f>SUMIFS('0531 4度C'!$Y:$Y,'0531 4度C'!$A:$A,"新豐5線",'0531 4度C'!$B:$B,"平均")</f>
        <v>0</v>
      </c>
      <c r="G18" s="96">
        <f>SUMIFS('0531 4度C'!$Y:$Y,'0531 4度C'!$A:$A,"新豐7線",'0531 4度C'!$B:$B,"平均")</f>
        <v>0</v>
      </c>
      <c r="H18" s="96">
        <f>SUMIFS('0531 4度C'!$Y:$Y,'0531 4度C'!$A:$A,"新豐3線",'0531 4度C'!$B:$B,"平均")</f>
        <v>0</v>
      </c>
      <c r="I18" s="96">
        <f>SUMIFS('0531 4度C'!$Y:$Y,'0531 4度C'!$A:$A,"新豐1線",'0531 4度C'!$B:$B,"平均")</f>
        <v>0</v>
      </c>
      <c r="J18" s="97">
        <f>SUMIFS('0531 4度C'!$Y:$Y,'0531 4度C'!$A:$A,"新豐10線",'0531 4度C'!$B:$B,"平均")</f>
        <v>0</v>
      </c>
      <c r="K18" s="98">
        <f>SUMIFS('0531 4度C'!$Y:$Y,'0531 4度C'!$A:$A,"新豐8線",'0531 4度C'!$B:$B,"平均")</f>
        <v>0</v>
      </c>
      <c r="L18" s="96">
        <f>SUMIFS('0531 4度C'!$Y:$Y,'0531 4度C'!$A:$A,"新豐9線",'0531 4度C'!$B:$B,"平均")</f>
        <v>0</v>
      </c>
      <c r="M18" s="97">
        <f>SUMIFS('0531 4度C'!$Y:$Y,'0531 4度C'!$A:$A,"新豐4線",'0531 4度C'!$B:$B,"平均")</f>
        <v>0</v>
      </c>
    </row>
    <row r="19" spans="2:13" ht="17.25" customHeight="1">
      <c r="B19" s="506"/>
      <c r="C19" s="94" t="s">
        <v>3071</v>
      </c>
      <c r="D19" s="95">
        <f>SUMIFS('0531 4度C'!$Z:$Z,'0531 4度C'!$A:$A,"新豐6線",'0531 4度C'!$B:$B,"平均")</f>
        <v>0</v>
      </c>
      <c r="E19" s="96">
        <f>SUMIFS('0531 4度C'!$Z:$Z,'0531 4度C'!$A:$A,"新豐2線",'0531 4度C'!$B:$B,"平均")</f>
        <v>0</v>
      </c>
      <c r="F19" s="96">
        <f>SUMIFS('0531 4度C'!$Z:$Z,'0531 4度C'!$A:$A,"新豐5線",'0531 4度C'!$B:$B,"平均")</f>
        <v>0</v>
      </c>
      <c r="G19" s="96">
        <f>SUMIFS('0531 4度C'!$Z:$Z,'0531 4度C'!$A:$A,"新豐7線",'0531 4度C'!$B:$B,"平均")</f>
        <v>0</v>
      </c>
      <c r="H19" s="96">
        <f>SUMIFS('0531 4度C'!$Z:$Z,'0531 4度C'!$A:$A,"新豐3線",'0531 4度C'!$B:$B,"平均")</f>
        <v>0</v>
      </c>
      <c r="I19" s="96">
        <f>SUMIFS('0531 4度C'!$Z:$Z,'0531 4度C'!$A:$A,"新豐1線",'0531 4度C'!$B:$B,"平均")</f>
        <v>0</v>
      </c>
      <c r="J19" s="97">
        <f>SUMIFS('0531 4度C'!$Z:$Z,'0531 4度C'!$A:$A,"新豐10線",'0531 4度C'!$B:$B,"平均")</f>
        <v>0</v>
      </c>
      <c r="K19" s="98">
        <f>SUMIFS('0531 4度C'!$Z:$Z,'0531 4度C'!$A:$A,"新豐8線",'0531 4度C'!$B:$B,"平均")</f>
        <v>0</v>
      </c>
      <c r="L19" s="96">
        <f>SUMIFS('0531 4度C'!$Z:$Z,'0531 4度C'!$A:$A,"新豐9線",'0531 4度C'!$B:$B,"平均")</f>
        <v>0</v>
      </c>
      <c r="M19" s="97">
        <f>SUMIFS('0531 4度C'!$Z:$Z,'0531 4度C'!$A:$A,"新豐4線",'0531 4度C'!$B:$B,"平均")</f>
        <v>0</v>
      </c>
    </row>
    <row r="20" spans="2:13" ht="17.25" customHeight="1">
      <c r="B20" s="505" t="s">
        <v>3072</v>
      </c>
      <c r="C20" s="94" t="s">
        <v>3070</v>
      </c>
      <c r="D20" s="95">
        <f>SUMIFS('0531 4度C'!$AC:$AC,'0531 4度C'!$A:$A,"新豐6線",'0531 4度C'!$B:$B,"平均")</f>
        <v>4</v>
      </c>
      <c r="E20" s="96">
        <f>SUMIFS('0531 4度C'!$AC:$AC,'0531 4度C'!$A:$A,"新豐2線",'0531 4度C'!$B:$B,"平均")</f>
        <v>5</v>
      </c>
      <c r="F20" s="96">
        <f>SUMIFS('0531 4度C'!$AC:$AC,'0531 4度C'!$A:$A,"新豐5線",'0531 4度C'!$B:$B,"平均")</f>
        <v>8</v>
      </c>
      <c r="G20" s="96">
        <f>SUMIFS('0531 4度C'!$AC:$AC,'0531 4度C'!$A:$A,"新豐7線",'0531 4度C'!$B:$B,"平均")</f>
        <v>6</v>
      </c>
      <c r="H20" s="96">
        <f>SUMIFS('0531 4度C'!$AC:$AC,'0531 4度C'!$A:$A,"新豐3線",'0531 4度C'!$B:$B,"平均")</f>
        <v>4</v>
      </c>
      <c r="I20" s="96">
        <f>SUMIFS('0531 4度C'!$AC:$AC,'0531 4度C'!$A:$A,"新豐1線",'0531 4度C'!$B:$B,"平均")</f>
        <v>7</v>
      </c>
      <c r="J20" s="97">
        <f>SUMIFS('0531 4度C'!$AC:$AC,'0531 4度C'!$A:$A,"新豐10線",'0531 4度C'!$B:$B,"平均")</f>
        <v>5</v>
      </c>
      <c r="K20" s="98">
        <f>SUMIFS('0531 4度C'!$AC:$AC,'0531 4度C'!$A:$A,"新豐8線",'0531 4度C'!$B:$B,"平均")</f>
        <v>7</v>
      </c>
      <c r="L20" s="96">
        <f>SUMIFS('0531 4度C'!$AC:$AC,'0531 4度C'!$A:$A,"新豐9線",'0531 4度C'!$B:$B,"平均")</f>
        <v>8</v>
      </c>
      <c r="M20" s="97">
        <f>SUMIFS('0531 4度C'!$AC:$AC,'0531 4度C'!$A:$A,"新豐4線",'0531 4度C'!$B:$B,"平均")</f>
        <v>8</v>
      </c>
    </row>
    <row r="21" spans="2:13" ht="17.25" customHeight="1">
      <c r="B21" s="506"/>
      <c r="C21" s="94" t="s">
        <v>3073</v>
      </c>
      <c r="D21" s="95">
        <f>SUMIFS('0531 4度C'!$AD:$AD,'0531 4度C'!$A:$A,"新豐6線",'0531 4度C'!$B:$B,"平均")</f>
        <v>0</v>
      </c>
      <c r="E21" s="96">
        <f>SUMIFS('0531 4度C'!$AD:$AD,'0531 4度C'!$A:$A,"新豐2線",'0531 4度C'!$B:$B,"平均")</f>
        <v>0</v>
      </c>
      <c r="F21" s="96">
        <f>SUMIFS('0531 4度C'!$AD:$AD,'0531 4度C'!$A:$A,"新豐5線",'0531 4度C'!$B:$B,"平均")</f>
        <v>0</v>
      </c>
      <c r="G21" s="96">
        <f>SUMIFS('0531 4度C'!$AD:$AD,'0531 4度C'!$A:$A,"新豐7線",'0531 4度C'!$B:$B,"平均")</f>
        <v>0</v>
      </c>
      <c r="H21" s="96">
        <f>SUMIFS('0531 4度C'!$AD:$AD,'0531 4度C'!$A:$A,"新豐3線",'0531 4度C'!$B:$B,"平均")</f>
        <v>0</v>
      </c>
      <c r="I21" s="96">
        <f>SUMIFS('0531 4度C'!$AD:$AD,'0531 4度C'!$A:$A,"新豐1線",'0531 4度C'!$B:$B,"平均")</f>
        <v>0</v>
      </c>
      <c r="J21" s="97">
        <f>SUMIFS('0531 4度C'!$AD:$AD,'0531 4度C'!$A:$A,"新豐10線",'0531 4度C'!$B:$B,"平均")</f>
        <v>0</v>
      </c>
      <c r="K21" s="98">
        <f>SUMIFS('0531 4度C'!$AD:$AD,'0531 4度C'!$A:$A,"新豐8線",'0531 4度C'!$B:$B,"平均")</f>
        <v>0</v>
      </c>
      <c r="L21" s="96">
        <f>SUMIFS('0531 4度C'!$AD:$AD,'0531 4度C'!$A:$A,"新豐9線",'0531 4度C'!$B:$B,"平均")</f>
        <v>0</v>
      </c>
      <c r="M21" s="97">
        <f>SUMIFS('0531 4度C'!$AD:$AD,'0531 4度C'!$A:$A,"新豐4線",'0531 4度C'!$B:$B,"平均")</f>
        <v>0</v>
      </c>
    </row>
    <row r="22" spans="2:13" ht="17.25" customHeight="1">
      <c r="B22" s="507" t="s">
        <v>3074</v>
      </c>
      <c r="C22" s="508"/>
      <c r="D22" s="99">
        <f>SUMIFS('0531 4度C'!$I:$I,'0531 4度C'!$A:$A,"新豐6線",'0531 4度C'!$B:$B,"平均")</f>
        <v>15.5</v>
      </c>
      <c r="E22" s="100">
        <f>SUMIFS('0531 4度C'!$I:$I,'0531 4度C'!$A:$A,"新豐2線",'0531 4度C'!$B:$B,"平均")</f>
        <v>17.600000000000001</v>
      </c>
      <c r="F22" s="100">
        <f>SUMIFS('0531 4度C'!$I:$I,'0531 4度C'!$A:$A,"新豐5線",'0531 4度C'!$B:$B,"平均")</f>
        <v>18.25</v>
      </c>
      <c r="G22" s="100">
        <f>SUMIFS('0531 4度C'!$I:$I,'0531 4度C'!$A:$A,"新豐7線",'0531 4度C'!$B:$B,"平均")</f>
        <v>15.333333333333334</v>
      </c>
      <c r="H22" s="100">
        <f>SUMIFS('0531 4度C'!$I:$I,'0531 4度C'!$A:$A,"新豐3線",'0531 4度C'!$B:$B,"平均")</f>
        <v>10.75</v>
      </c>
      <c r="I22" s="100">
        <f>SUMIFS('0531 4度C'!$I:$I,'0531 4度C'!$A:$A,"新豐1線",'0531 4度C'!$B:$B,"平均")</f>
        <v>18.285714285714285</v>
      </c>
      <c r="J22" s="101">
        <f>SUMIFS('0531 4度C'!$I:$I,'0531 4度C'!$A:$A,"新豐10線",'0531 4度C'!$B:$B,"平均")</f>
        <v>9.4</v>
      </c>
      <c r="K22" s="99">
        <f>SUMIFS('0531 4度C'!$I:$I,'0531 4度C'!$A:$A,"新豐8線",'0531 4度C'!$B:$B,"平均")</f>
        <v>17.428571428571427</v>
      </c>
      <c r="L22" s="100">
        <f>SUMIFS('0531 4度C'!$I:$I,'0531 4度C'!$A:$A,"新豐9線",'0531 4度C'!$B:$B,"平均")</f>
        <v>17.375</v>
      </c>
      <c r="M22" s="101">
        <f>SUMIFS('0531 4度C'!$I:$I,'0531 4度C'!$A:$A,"新豐4線",'0531 4度C'!$B:$B,"平均")</f>
        <v>16</v>
      </c>
    </row>
    <row r="23" spans="2:13" ht="17.25" customHeight="1">
      <c r="B23" s="507" t="s">
        <v>3075</v>
      </c>
      <c r="C23" s="508"/>
      <c r="D23" s="102" t="s">
        <v>177</v>
      </c>
      <c r="E23" s="103" t="s">
        <v>178</v>
      </c>
      <c r="F23" s="103" t="s">
        <v>3076</v>
      </c>
      <c r="G23" s="103" t="s">
        <v>3076</v>
      </c>
      <c r="H23" s="103" t="s">
        <v>180</v>
      </c>
      <c r="I23" s="103" t="s">
        <v>177</v>
      </c>
      <c r="J23" s="104" t="s">
        <v>180</v>
      </c>
      <c r="K23" s="102" t="s">
        <v>3077</v>
      </c>
      <c r="L23" s="103" t="s">
        <v>3077</v>
      </c>
      <c r="M23" s="104" t="s">
        <v>3077</v>
      </c>
    </row>
    <row r="24" spans="2:13" ht="17.25" customHeight="1">
      <c r="B24" s="507" t="s">
        <v>3078</v>
      </c>
      <c r="C24" s="508"/>
      <c r="D24" s="102"/>
      <c r="E24" s="103"/>
      <c r="F24" s="103" t="s">
        <v>3079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3080</v>
      </c>
      <c r="C25" s="510"/>
      <c r="D25" s="105"/>
      <c r="E25" s="106" t="s">
        <v>3081</v>
      </c>
      <c r="F25" s="503" t="s">
        <v>3082</v>
      </c>
      <c r="G25" s="504"/>
      <c r="H25" s="106" t="s">
        <v>3083</v>
      </c>
      <c r="I25" s="106" t="s">
        <v>3084</v>
      </c>
      <c r="J25" s="107" t="s">
        <v>3085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6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7"/>
  <sheetViews>
    <sheetView zoomScale="80" zoomScaleNormal="80" workbookViewId="0">
      <pane ySplit="4" topLeftCell="A60" activePane="bottomLeft" state="frozen"/>
      <selection sqref="A1:XFD1048576"/>
      <selection pane="bottomLeft" sqref="A1:XFD104857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3086</v>
      </c>
      <c r="B1" s="1"/>
      <c r="C1" s="2" t="s">
        <v>3087</v>
      </c>
      <c r="D1" s="3">
        <f>SUM(F5:F76)</f>
        <v>207773</v>
      </c>
      <c r="E1" s="489" t="s">
        <v>3088</v>
      </c>
      <c r="F1" s="1">
        <f>SUM(G5:G76)</f>
        <v>7052754.6599999983</v>
      </c>
      <c r="G1" s="1" t="s">
        <v>3089</v>
      </c>
      <c r="H1" s="5">
        <f>L9+L15+L53+L61+L24+L67+L39+L48+L31+L76</f>
        <v>155.92261904761907</v>
      </c>
      <c r="I1" s="617" t="s">
        <v>3090</v>
      </c>
      <c r="J1" s="617"/>
      <c r="K1" s="617"/>
      <c r="L1" s="617" t="s">
        <v>3091</v>
      </c>
      <c r="M1" s="617"/>
      <c r="N1" s="617"/>
      <c r="O1" s="617" t="s">
        <v>6</v>
      </c>
      <c r="P1" s="617"/>
      <c r="Q1" s="617"/>
      <c r="R1" s="617"/>
      <c r="S1" s="617" t="s">
        <v>7</v>
      </c>
      <c r="T1" s="617"/>
      <c r="U1" s="617"/>
      <c r="V1" s="617"/>
      <c r="W1" s="617"/>
      <c r="X1" s="617"/>
      <c r="Y1" s="6" t="s">
        <v>3092</v>
      </c>
      <c r="Z1" s="7" t="s">
        <v>3093</v>
      </c>
      <c r="AA1" s="618" t="s">
        <v>10</v>
      </c>
      <c r="AB1" s="618"/>
      <c r="AC1" s="121" t="s">
        <v>8</v>
      </c>
      <c r="AD1" s="7" t="s">
        <v>3094</v>
      </c>
      <c r="AE1" s="617" t="s">
        <v>3095</v>
      </c>
      <c r="AF1" s="619"/>
      <c r="AG1" s="619"/>
    </row>
    <row r="2" spans="1:33" ht="26.25" customHeight="1">
      <c r="A2" s="37">
        <v>46173</v>
      </c>
      <c r="B2" s="38" t="s">
        <v>353</v>
      </c>
      <c r="C2" s="2" t="s">
        <v>3061</v>
      </c>
      <c r="D2" s="10">
        <f>AVERAGE(N9,N15,N53,N61,N24,N67,N31,N39,N48,N76)</f>
        <v>146.70970360437423</v>
      </c>
      <c r="E2" s="11" t="s">
        <v>14</v>
      </c>
      <c r="F2" s="12">
        <f>F1/D1</f>
        <v>33.944519547775691</v>
      </c>
      <c r="G2" s="1" t="s">
        <v>3096</v>
      </c>
      <c r="H2" s="488">
        <f>COUNT(H5:H76)</f>
        <v>14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SUM(Y9+Y15+Y24+Y31+Y39+Y48+Y53+Y61+Y67+Y76)</f>
        <v>0</v>
      </c>
      <c r="Z2" s="14">
        <f>SUM(Z9+Z15+Z24+Z31+Z39+Z48+Z53+Z61+Z67+Z76)</f>
        <v>0</v>
      </c>
      <c r="AA2" s="618"/>
      <c r="AB2" s="618"/>
      <c r="AC2" s="122">
        <v>62</v>
      </c>
      <c r="AD2" s="14">
        <f>SUM(AD9+AD15+AD24+AD31+AD39+AD48+AD53+AD61+AD67+AD76)</f>
        <v>0</v>
      </c>
      <c r="AE2" s="619"/>
      <c r="AF2" s="619"/>
      <c r="AG2" s="619"/>
    </row>
    <row r="3" spans="1:33" ht="40.5" customHeight="1">
      <c r="A3" s="575" t="s">
        <v>3097</v>
      </c>
      <c r="B3" s="575" t="s">
        <v>3098</v>
      </c>
      <c r="C3" s="575" t="s">
        <v>3099</v>
      </c>
      <c r="D3" s="575"/>
      <c r="E3" s="615" t="s">
        <v>3100</v>
      </c>
      <c r="F3" s="575" t="s">
        <v>3101</v>
      </c>
      <c r="G3" s="615" t="s">
        <v>3102</v>
      </c>
      <c r="H3" s="608" t="s">
        <v>3103</v>
      </c>
      <c r="I3" s="606" t="s">
        <v>3104</v>
      </c>
      <c r="J3" s="603" t="s">
        <v>3105</v>
      </c>
      <c r="K3" s="613" t="s">
        <v>3061</v>
      </c>
      <c r="L3" s="606" t="s">
        <v>3104</v>
      </c>
      <c r="M3" s="603" t="s">
        <v>3105</v>
      </c>
      <c r="N3" s="613" t="s">
        <v>3061</v>
      </c>
      <c r="O3" s="606" t="s">
        <v>3104</v>
      </c>
      <c r="P3" s="613" t="s">
        <v>3061</v>
      </c>
      <c r="Q3" s="604" t="s">
        <v>3106</v>
      </c>
      <c r="R3" s="582" t="s">
        <v>3107</v>
      </c>
      <c r="S3" s="614" t="s">
        <v>28</v>
      </c>
      <c r="T3" s="614"/>
      <c r="U3" s="608" t="s">
        <v>29</v>
      </c>
      <c r="V3" s="608" t="s">
        <v>3108</v>
      </c>
      <c r="W3" s="575" t="s">
        <v>3109</v>
      </c>
      <c r="X3" s="575"/>
      <c r="Y3" s="609" t="s">
        <v>3110</v>
      </c>
      <c r="Z3" s="572"/>
      <c r="AA3" s="610" t="s">
        <v>3111</v>
      </c>
      <c r="AB3" s="611"/>
      <c r="AC3" s="609" t="s">
        <v>3112</v>
      </c>
      <c r="AD3" s="572"/>
      <c r="AE3" s="603" t="s">
        <v>3113</v>
      </c>
      <c r="AF3" s="604" t="s">
        <v>3114</v>
      </c>
      <c r="AG3" s="582" t="s">
        <v>3115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492" t="s">
        <v>36</v>
      </c>
      <c r="T4" s="492" t="s">
        <v>37</v>
      </c>
      <c r="U4" s="608"/>
      <c r="V4" s="608"/>
      <c r="W4" s="489" t="s">
        <v>3116</v>
      </c>
      <c r="X4" s="489" t="s">
        <v>3117</v>
      </c>
      <c r="Y4" s="493" t="s">
        <v>3118</v>
      </c>
      <c r="Z4" s="493" t="s">
        <v>3119</v>
      </c>
      <c r="AA4" s="612"/>
      <c r="AB4" s="611"/>
      <c r="AC4" s="493" t="s">
        <v>3120</v>
      </c>
      <c r="AD4" s="493" t="s">
        <v>3121</v>
      </c>
      <c r="AE4" s="603"/>
      <c r="AF4" s="604"/>
      <c r="AG4" s="582"/>
    </row>
    <row r="5" spans="1:33">
      <c r="A5" s="605" t="s">
        <v>3122</v>
      </c>
      <c r="B5" s="39" t="s">
        <v>74</v>
      </c>
      <c r="C5" s="607" t="s">
        <v>77</v>
      </c>
      <c r="D5" s="607"/>
      <c r="E5" s="39">
        <v>50.67</v>
      </c>
      <c r="F5" s="492">
        <v>1765</v>
      </c>
      <c r="G5" s="489">
        <f t="shared" ref="G5:G8" si="0">E5*F5</f>
        <v>89432.55</v>
      </c>
      <c r="H5" s="48" t="s">
        <v>126</v>
      </c>
      <c r="I5" s="491">
        <v>15</v>
      </c>
      <c r="J5" s="43">
        <v>2000</v>
      </c>
      <c r="K5" s="18">
        <f t="shared" ref="K5:K68" si="1">J5/I5</f>
        <v>133.33333333333334</v>
      </c>
      <c r="L5" s="491">
        <v>15</v>
      </c>
      <c r="M5" s="19">
        <f t="shared" ref="M5:M8" si="2">F5/V5*60</f>
        <v>1925.4545454545469</v>
      </c>
      <c r="N5" s="18">
        <f t="shared" ref="N5:N68" si="3">M5/L5</f>
        <v>128.36363636363646</v>
      </c>
      <c r="O5" s="20">
        <f t="shared" ref="O5:O68" si="4">L5-I5</f>
        <v>0</v>
      </c>
      <c r="P5" s="21">
        <f t="shared" ref="P5:P68" si="5">N5-K5</f>
        <v>-4.9696969696968836</v>
      </c>
      <c r="Q5" s="494">
        <f t="shared" ref="Q5:Q68" si="6">N5/K5</f>
        <v>0.96272727272727343</v>
      </c>
      <c r="R5" s="573">
        <f>Q9</f>
        <v>0.95692748229512903</v>
      </c>
      <c r="S5" s="49">
        <v>0.70833333333333337</v>
      </c>
      <c r="T5" s="49">
        <v>0.74652777777777779</v>
      </c>
      <c r="U5" s="489"/>
      <c r="V5" s="490">
        <f t="shared" ref="V5:V8" si="7">(T5-S5)*24*60</f>
        <v>54.999999999999964</v>
      </c>
      <c r="W5" s="25"/>
      <c r="X5" s="26"/>
      <c r="Y5" s="26"/>
      <c r="Z5" s="26"/>
      <c r="AA5" s="575"/>
      <c r="AB5" s="575"/>
      <c r="AC5" s="50">
        <v>4</v>
      </c>
      <c r="AD5" s="27"/>
      <c r="AE5" s="20">
        <f t="shared" ref="AE5:AE60" si="8">M5-J5</f>
        <v>-74.54545454545314</v>
      </c>
      <c r="AF5" s="494">
        <f t="shared" ref="AF5:AF68" si="9">M5/J5</f>
        <v>0.96272727272727343</v>
      </c>
      <c r="AG5" s="573">
        <f>AF9</f>
        <v>0.95692748229512903</v>
      </c>
    </row>
    <row r="6" spans="1:33">
      <c r="A6" s="606" t="s">
        <v>3123</v>
      </c>
      <c r="B6" s="39" t="s">
        <v>74</v>
      </c>
      <c r="C6" s="607" t="s">
        <v>86</v>
      </c>
      <c r="D6" s="607"/>
      <c r="E6" s="39">
        <v>50.92</v>
      </c>
      <c r="F6" s="492">
        <v>2364</v>
      </c>
      <c r="G6" s="489">
        <f t="shared" si="0"/>
        <v>120374.88</v>
      </c>
      <c r="H6" s="48" t="s">
        <v>126</v>
      </c>
      <c r="I6" s="491">
        <v>15</v>
      </c>
      <c r="J6" s="43">
        <v>2000</v>
      </c>
      <c r="K6" s="18">
        <f t="shared" si="1"/>
        <v>133.33333333333334</v>
      </c>
      <c r="L6" s="491">
        <v>15</v>
      </c>
      <c r="M6" s="19">
        <f t="shared" si="2"/>
        <v>1916.7567567567553</v>
      </c>
      <c r="N6" s="18">
        <f t="shared" si="3"/>
        <v>127.78378378378369</v>
      </c>
      <c r="O6" s="20">
        <f t="shared" si="4"/>
        <v>0</v>
      </c>
      <c r="P6" s="21">
        <f t="shared" si="5"/>
        <v>-5.5495495495496527</v>
      </c>
      <c r="Q6" s="494">
        <f t="shared" si="6"/>
        <v>0.95837837837837758</v>
      </c>
      <c r="R6" s="573"/>
      <c r="S6" s="49">
        <v>0.75069444444444444</v>
      </c>
      <c r="T6" s="49">
        <v>0.80208333333333337</v>
      </c>
      <c r="U6" s="489">
        <f t="shared" ref="U6:U8" si="10">IF(S6=TIME(17,0,0),"",(S6-T5)*24*60)</f>
        <v>5.9999999999999787</v>
      </c>
      <c r="V6" s="490">
        <f t="shared" si="7"/>
        <v>74.000000000000057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-83.243243243244706</v>
      </c>
      <c r="AF6" s="494">
        <f t="shared" si="9"/>
        <v>0.95837837837837769</v>
      </c>
      <c r="AG6" s="573"/>
    </row>
    <row r="7" spans="1:33">
      <c r="A7" s="606" t="s">
        <v>3123</v>
      </c>
      <c r="B7" s="39" t="s">
        <v>74</v>
      </c>
      <c r="C7" s="598" t="s">
        <v>93</v>
      </c>
      <c r="D7" s="599"/>
      <c r="E7" s="39">
        <v>50.98</v>
      </c>
      <c r="F7" s="492">
        <v>1400</v>
      </c>
      <c r="G7" s="489">
        <f t="shared" si="0"/>
        <v>71372</v>
      </c>
      <c r="H7" s="48">
        <v>2</v>
      </c>
      <c r="I7" s="491">
        <v>16</v>
      </c>
      <c r="J7" s="43">
        <v>2000</v>
      </c>
      <c r="K7" s="18">
        <f t="shared" si="1"/>
        <v>125</v>
      </c>
      <c r="L7" s="491">
        <v>16</v>
      </c>
      <c r="M7" s="19">
        <f t="shared" si="2"/>
        <v>1909.090909090909</v>
      </c>
      <c r="N7" s="18">
        <f t="shared" si="3"/>
        <v>119.31818181818181</v>
      </c>
      <c r="O7" s="20">
        <f t="shared" si="4"/>
        <v>0</v>
      </c>
      <c r="P7" s="21">
        <f t="shared" si="5"/>
        <v>-5.681818181818187</v>
      </c>
      <c r="Q7" s="494">
        <f t="shared" si="6"/>
        <v>0.95454545454545447</v>
      </c>
      <c r="R7" s="573"/>
      <c r="S7" s="49">
        <v>0.80625000000000002</v>
      </c>
      <c r="T7" s="49">
        <v>0.83680555555555558</v>
      </c>
      <c r="U7" s="489">
        <f t="shared" si="10"/>
        <v>5.9999999999999787</v>
      </c>
      <c r="V7" s="490">
        <f t="shared" si="7"/>
        <v>44</v>
      </c>
      <c r="W7" s="25">
        <f>T7</f>
        <v>0.83680555555555558</v>
      </c>
      <c r="X7" s="25">
        <f>S8</f>
        <v>0.87777777777777777</v>
      </c>
      <c r="Y7" s="28"/>
      <c r="Z7" s="28"/>
      <c r="AA7" s="568"/>
      <c r="AB7" s="569"/>
      <c r="AC7" s="50"/>
      <c r="AD7" s="29"/>
      <c r="AE7" s="20">
        <f t="shared" si="8"/>
        <v>-90.909090909090992</v>
      </c>
      <c r="AF7" s="494">
        <f t="shared" si="9"/>
        <v>0.95454545454545447</v>
      </c>
      <c r="AG7" s="573"/>
    </row>
    <row r="8" spans="1:33">
      <c r="A8" s="606" t="s">
        <v>3123</v>
      </c>
      <c r="B8" s="39" t="s">
        <v>74</v>
      </c>
      <c r="C8" s="598" t="s">
        <v>93</v>
      </c>
      <c r="D8" s="599"/>
      <c r="E8" s="39">
        <v>50.98</v>
      </c>
      <c r="F8" s="492">
        <v>1079</v>
      </c>
      <c r="G8" s="489">
        <f t="shared" si="0"/>
        <v>55007.42</v>
      </c>
      <c r="H8" s="48" t="s">
        <v>126</v>
      </c>
      <c r="I8" s="491">
        <v>16</v>
      </c>
      <c r="J8" s="43">
        <v>2000</v>
      </c>
      <c r="K8" s="18">
        <f t="shared" si="1"/>
        <v>125</v>
      </c>
      <c r="L8" s="491">
        <v>16</v>
      </c>
      <c r="M8" s="19">
        <f t="shared" si="2"/>
        <v>1904.1176470588211</v>
      </c>
      <c r="N8" s="18">
        <f t="shared" si="3"/>
        <v>119.00735294117632</v>
      </c>
      <c r="O8" s="20">
        <f t="shared" si="4"/>
        <v>0</v>
      </c>
      <c r="P8" s="21">
        <f t="shared" si="5"/>
        <v>-5.9926470588236782</v>
      </c>
      <c r="Q8" s="494">
        <f t="shared" si="6"/>
        <v>0.95205882352941062</v>
      </c>
      <c r="R8" s="573"/>
      <c r="S8" s="49">
        <v>0.87777777777777777</v>
      </c>
      <c r="T8" s="49">
        <v>0.90138888888888891</v>
      </c>
      <c r="U8" s="489">
        <f t="shared" si="10"/>
        <v>58.99999999999995</v>
      </c>
      <c r="V8" s="490">
        <f t="shared" si="7"/>
        <v>34.000000000000043</v>
      </c>
      <c r="W8" s="30"/>
      <c r="X8" s="30"/>
      <c r="Y8" s="31"/>
      <c r="Z8" s="31"/>
      <c r="AA8" s="568"/>
      <c r="AB8" s="569"/>
      <c r="AC8" s="50"/>
      <c r="AD8" s="29"/>
      <c r="AE8" s="20">
        <f t="shared" si="8"/>
        <v>-95.882352941178851</v>
      </c>
      <c r="AF8" s="494">
        <f t="shared" si="9"/>
        <v>0.95205882352941062</v>
      </c>
      <c r="AG8" s="573"/>
    </row>
    <row r="9" spans="1:33">
      <c r="A9" s="606" t="s">
        <v>3123</v>
      </c>
      <c r="B9" s="39" t="s">
        <v>3124</v>
      </c>
      <c r="C9" s="576"/>
      <c r="D9" s="576"/>
      <c r="E9" s="495"/>
      <c r="F9" s="42"/>
      <c r="G9" s="18"/>
      <c r="H9" s="492"/>
      <c r="I9" s="32">
        <v>15.5</v>
      </c>
      <c r="J9" s="43">
        <v>2000</v>
      </c>
      <c r="K9" s="18">
        <f t="shared" si="1"/>
        <v>129.03225806451613</v>
      </c>
      <c r="L9" s="32">
        <v>15.5</v>
      </c>
      <c r="M9" s="19">
        <f>AVERAGE(M5:M8)</f>
        <v>1913.8549645902581</v>
      </c>
      <c r="N9" s="18">
        <f t="shared" si="3"/>
        <v>123.47451384453278</v>
      </c>
      <c r="O9" s="20">
        <f t="shared" si="4"/>
        <v>0</v>
      </c>
      <c r="P9" s="21">
        <f t="shared" si="5"/>
        <v>-5.5577442199833484</v>
      </c>
      <c r="Q9" s="494">
        <f t="shared" si="6"/>
        <v>0.95692748229512903</v>
      </c>
      <c r="R9" s="573"/>
      <c r="S9" s="49"/>
      <c r="T9" s="49"/>
      <c r="U9" s="489"/>
      <c r="V9" s="490"/>
      <c r="W9" s="18"/>
      <c r="X9" s="18"/>
      <c r="Y9" s="33">
        <f>SUM(Y5:Y8)</f>
        <v>0</v>
      </c>
      <c r="Z9" s="33">
        <f>SUM(Z5:Z8)</f>
        <v>0</v>
      </c>
      <c r="AA9" s="572"/>
      <c r="AB9" s="572"/>
      <c r="AC9" s="33">
        <v>4</v>
      </c>
      <c r="AD9" s="33">
        <f>SUM(AD5:AD8)</f>
        <v>0</v>
      </c>
      <c r="AE9" s="20">
        <f t="shared" si="8"/>
        <v>-86.145035409741922</v>
      </c>
      <c r="AF9" s="494">
        <f t="shared" si="9"/>
        <v>0.95692748229512903</v>
      </c>
      <c r="AG9" s="573"/>
    </row>
    <row r="10" spans="1:33" ht="15.75" customHeight="1">
      <c r="A10" s="602" t="s">
        <v>3125</v>
      </c>
      <c r="B10" s="39" t="s">
        <v>79</v>
      </c>
      <c r="C10" s="598" t="s">
        <v>80</v>
      </c>
      <c r="D10" s="599"/>
      <c r="E10" s="39">
        <v>39.619999999999997</v>
      </c>
      <c r="F10" s="492">
        <v>3600</v>
      </c>
      <c r="G10" s="489">
        <f t="shared" ref="G10:G14" si="11">E10*F10</f>
        <v>142632</v>
      </c>
      <c r="H10" s="48">
        <v>2</v>
      </c>
      <c r="I10" s="491">
        <v>19</v>
      </c>
      <c r="J10" s="43">
        <v>1500</v>
      </c>
      <c r="K10" s="18">
        <f t="shared" si="1"/>
        <v>78.94736842105263</v>
      </c>
      <c r="L10" s="491">
        <v>19</v>
      </c>
      <c r="M10" s="19">
        <f t="shared" ref="M10:M14" si="12">F10/V10*60</f>
        <v>1430.4635761589404</v>
      </c>
      <c r="N10" s="18">
        <f t="shared" si="3"/>
        <v>75.287556639944228</v>
      </c>
      <c r="O10" s="20">
        <f t="shared" si="4"/>
        <v>0</v>
      </c>
      <c r="P10" s="21">
        <f t="shared" si="5"/>
        <v>-3.6598117811084023</v>
      </c>
      <c r="Q10" s="494">
        <f t="shared" si="6"/>
        <v>0.95364238410596025</v>
      </c>
      <c r="R10" s="573">
        <f>Q15</f>
        <v>0.95502196368492354</v>
      </c>
      <c r="S10" s="49">
        <v>8.3333333333333329E-2</v>
      </c>
      <c r="T10" s="49">
        <v>0.18819444444444444</v>
      </c>
      <c r="U10" s="489"/>
      <c r="V10" s="490">
        <f t="shared" ref="V10:V14" si="13">(T10-S10)*24*60</f>
        <v>151</v>
      </c>
      <c r="W10" s="25">
        <f>T10</f>
        <v>0.18819444444444444</v>
      </c>
      <c r="X10" s="25">
        <f>S11</f>
        <v>0.20833333333333334</v>
      </c>
      <c r="Y10" s="25"/>
      <c r="Z10" s="25"/>
      <c r="AA10" s="575"/>
      <c r="AB10" s="575"/>
      <c r="AC10" s="50">
        <v>5</v>
      </c>
      <c r="AD10" s="27"/>
      <c r="AE10" s="20">
        <f t="shared" si="8"/>
        <v>-69.536423841059559</v>
      </c>
      <c r="AF10" s="494">
        <f t="shared" si="9"/>
        <v>0.95364238410596025</v>
      </c>
      <c r="AG10" s="573">
        <f>AF15</f>
        <v>0.95502196368492365</v>
      </c>
    </row>
    <row r="11" spans="1:33" ht="15.75" customHeight="1">
      <c r="A11" s="602" t="s">
        <v>3126</v>
      </c>
      <c r="B11" s="39" t="s">
        <v>79</v>
      </c>
      <c r="C11" s="598" t="s">
        <v>81</v>
      </c>
      <c r="D11" s="599"/>
      <c r="E11" s="39">
        <v>39.799999999999997</v>
      </c>
      <c r="F11" s="492">
        <v>5200</v>
      </c>
      <c r="G11" s="489">
        <f t="shared" si="11"/>
        <v>206959.99999999997</v>
      </c>
      <c r="H11" s="48">
        <v>2</v>
      </c>
      <c r="I11" s="491">
        <v>17</v>
      </c>
      <c r="J11" s="43">
        <v>1500</v>
      </c>
      <c r="K11" s="18">
        <f t="shared" si="1"/>
        <v>88.235294117647058</v>
      </c>
      <c r="L11" s="491">
        <v>17</v>
      </c>
      <c r="M11" s="19">
        <f t="shared" si="12"/>
        <v>1431.1926605504591</v>
      </c>
      <c r="N11" s="18">
        <f t="shared" si="3"/>
        <v>84.187803561791711</v>
      </c>
      <c r="O11" s="20">
        <f t="shared" si="4"/>
        <v>0</v>
      </c>
      <c r="P11" s="21">
        <f t="shared" si="5"/>
        <v>-4.0474905558553473</v>
      </c>
      <c r="Q11" s="494">
        <f t="shared" si="6"/>
        <v>0.95412844036697275</v>
      </c>
      <c r="R11" s="573"/>
      <c r="S11" s="49">
        <v>0.20833333333333334</v>
      </c>
      <c r="T11" s="49">
        <v>0.35972222222222222</v>
      </c>
      <c r="U11" s="489">
        <f t="shared" ref="U11:U14" si="14">IF(S11=TIME(17,0,0),"",(S11-T10)*24*60)</f>
        <v>29.000000000000018</v>
      </c>
      <c r="V11" s="490">
        <f t="shared" si="13"/>
        <v>217.99999999999997</v>
      </c>
      <c r="W11" s="25"/>
      <c r="X11" s="25"/>
      <c r="Y11" s="25"/>
      <c r="Z11" s="25"/>
      <c r="AA11" s="575"/>
      <c r="AB11" s="575"/>
      <c r="AC11" s="50"/>
      <c r="AD11" s="27"/>
      <c r="AE11" s="20">
        <f t="shared" si="8"/>
        <v>-68.807339449540905</v>
      </c>
      <c r="AF11" s="494">
        <f t="shared" si="9"/>
        <v>0.95412844036697275</v>
      </c>
      <c r="AG11" s="573"/>
    </row>
    <row r="12" spans="1:33" ht="15.75" customHeight="1">
      <c r="A12" s="602" t="s">
        <v>3126</v>
      </c>
      <c r="B12" s="39" t="s">
        <v>79</v>
      </c>
      <c r="C12" s="598" t="s">
        <v>1953</v>
      </c>
      <c r="D12" s="599"/>
      <c r="E12" s="39">
        <v>39.46</v>
      </c>
      <c r="F12" s="492">
        <v>4700</v>
      </c>
      <c r="G12" s="489">
        <f t="shared" si="11"/>
        <v>185462</v>
      </c>
      <c r="H12" s="48">
        <v>2</v>
      </c>
      <c r="I12" s="491">
        <v>16</v>
      </c>
      <c r="J12" s="43">
        <v>1500</v>
      </c>
      <c r="K12" s="18">
        <f t="shared" si="1"/>
        <v>93.75</v>
      </c>
      <c r="L12" s="491">
        <v>16</v>
      </c>
      <c r="M12" s="19">
        <f t="shared" si="12"/>
        <v>1431.4720812182738</v>
      </c>
      <c r="N12" s="18">
        <f t="shared" si="3"/>
        <v>89.467005076142115</v>
      </c>
      <c r="O12" s="20">
        <f t="shared" si="4"/>
        <v>0</v>
      </c>
      <c r="P12" s="21">
        <f t="shared" si="5"/>
        <v>-4.2829949238578848</v>
      </c>
      <c r="Q12" s="494">
        <f t="shared" si="6"/>
        <v>0.9543147208121826</v>
      </c>
      <c r="R12" s="573"/>
      <c r="S12" s="49">
        <v>0.36527777777777776</v>
      </c>
      <c r="T12" s="49">
        <v>0.50208333333333333</v>
      </c>
      <c r="U12" s="489">
        <f t="shared" si="14"/>
        <v>7.9999999999999716</v>
      </c>
      <c r="V12" s="490">
        <f t="shared" si="13"/>
        <v>197.00000000000003</v>
      </c>
      <c r="W12" s="25">
        <f>T12</f>
        <v>0.50208333333333333</v>
      </c>
      <c r="X12" s="25">
        <f>S13</f>
        <v>0.54097222222222219</v>
      </c>
      <c r="Y12" s="25"/>
      <c r="Z12" s="25"/>
      <c r="AA12" s="575"/>
      <c r="AB12" s="575"/>
      <c r="AC12" s="50"/>
      <c r="AD12" s="27"/>
      <c r="AE12" s="20">
        <f t="shared" si="8"/>
        <v>-68.527918781726157</v>
      </c>
      <c r="AF12" s="494">
        <f t="shared" si="9"/>
        <v>0.9543147208121826</v>
      </c>
      <c r="AG12" s="573"/>
    </row>
    <row r="13" spans="1:33" ht="15.75" customHeight="1">
      <c r="A13" s="602" t="s">
        <v>3126</v>
      </c>
      <c r="B13" s="39" t="s">
        <v>79</v>
      </c>
      <c r="C13" s="598" t="s">
        <v>81</v>
      </c>
      <c r="D13" s="599"/>
      <c r="E13" s="39">
        <v>39.799999999999997</v>
      </c>
      <c r="F13" s="492">
        <v>3902</v>
      </c>
      <c r="G13" s="489">
        <f t="shared" si="11"/>
        <v>155299.59999999998</v>
      </c>
      <c r="H13" s="48" t="s">
        <v>126</v>
      </c>
      <c r="I13" s="491">
        <v>17</v>
      </c>
      <c r="J13" s="43">
        <v>1500</v>
      </c>
      <c r="K13" s="18">
        <f t="shared" si="1"/>
        <v>88.235294117647058</v>
      </c>
      <c r="L13" s="491">
        <v>17</v>
      </c>
      <c r="M13" s="19">
        <f t="shared" si="12"/>
        <v>1436.3190184049074</v>
      </c>
      <c r="N13" s="18">
        <f t="shared" si="3"/>
        <v>84.48935402381808</v>
      </c>
      <c r="O13" s="20">
        <f t="shared" si="4"/>
        <v>0</v>
      </c>
      <c r="P13" s="21">
        <f t="shared" si="5"/>
        <v>-3.7459400938289775</v>
      </c>
      <c r="Q13" s="494">
        <f t="shared" si="6"/>
        <v>0.9575460122699383</v>
      </c>
      <c r="R13" s="573"/>
      <c r="S13" s="49">
        <v>0.54097222222222219</v>
      </c>
      <c r="T13" s="49">
        <v>0.65416666666666667</v>
      </c>
      <c r="U13" s="489">
        <f t="shared" si="14"/>
        <v>55.999999999999957</v>
      </c>
      <c r="V13" s="490">
        <f t="shared" si="13"/>
        <v>163.00000000000006</v>
      </c>
      <c r="W13" s="25"/>
      <c r="X13" s="25"/>
      <c r="Y13" s="25"/>
      <c r="Z13" s="25"/>
      <c r="AA13" s="568"/>
      <c r="AB13" s="569"/>
      <c r="AC13" s="50"/>
      <c r="AD13" s="27"/>
      <c r="AE13" s="20">
        <f t="shared" si="8"/>
        <v>-63.680981595092589</v>
      </c>
      <c r="AF13" s="494">
        <f t="shared" si="9"/>
        <v>0.9575460122699383</v>
      </c>
      <c r="AG13" s="573"/>
    </row>
    <row r="14" spans="1:33" ht="15.75" customHeight="1">
      <c r="A14" s="602" t="s">
        <v>3126</v>
      </c>
      <c r="B14" s="39" t="s">
        <v>79</v>
      </c>
      <c r="C14" s="598" t="s">
        <v>80</v>
      </c>
      <c r="D14" s="599"/>
      <c r="E14" s="39">
        <v>39.619999999999997</v>
      </c>
      <c r="F14" s="492">
        <v>2747</v>
      </c>
      <c r="G14" s="489">
        <f t="shared" si="11"/>
        <v>108836.14</v>
      </c>
      <c r="H14" s="48" t="s">
        <v>126</v>
      </c>
      <c r="I14" s="491">
        <v>19</v>
      </c>
      <c r="J14" s="43">
        <v>1500</v>
      </c>
      <c r="K14" s="18">
        <f t="shared" si="1"/>
        <v>78.94736842105263</v>
      </c>
      <c r="L14" s="491">
        <v>19</v>
      </c>
      <c r="M14" s="19">
        <f t="shared" si="12"/>
        <v>1433.2173913043468</v>
      </c>
      <c r="N14" s="18">
        <f t="shared" si="3"/>
        <v>75.432494279176154</v>
      </c>
      <c r="O14" s="20">
        <f t="shared" si="4"/>
        <v>0</v>
      </c>
      <c r="P14" s="21">
        <f t="shared" si="5"/>
        <v>-3.5148741418764757</v>
      </c>
      <c r="Q14" s="494">
        <f t="shared" si="6"/>
        <v>0.95547826086956467</v>
      </c>
      <c r="R14" s="573"/>
      <c r="S14" s="49">
        <v>0.65763888888888888</v>
      </c>
      <c r="T14" s="49">
        <v>0.73750000000000004</v>
      </c>
      <c r="U14" s="489">
        <f t="shared" si="14"/>
        <v>4.9999999999999822</v>
      </c>
      <c r="V14" s="490">
        <f t="shared" si="13"/>
        <v>115.00000000000007</v>
      </c>
      <c r="W14" s="25"/>
      <c r="X14" s="25"/>
      <c r="Y14" s="28"/>
      <c r="Z14" s="28"/>
      <c r="AA14" s="568"/>
      <c r="AB14" s="569"/>
      <c r="AC14" s="50"/>
      <c r="AD14" s="27"/>
      <c r="AE14" s="20">
        <f t="shared" si="8"/>
        <v>-66.782608695653153</v>
      </c>
      <c r="AF14" s="494">
        <f t="shared" si="9"/>
        <v>0.95547826086956456</v>
      </c>
      <c r="AG14" s="573"/>
    </row>
    <row r="15" spans="1:33" ht="16.5" customHeight="1">
      <c r="A15" s="602" t="s">
        <v>3126</v>
      </c>
      <c r="B15" s="39" t="s">
        <v>3127</v>
      </c>
      <c r="C15" s="576"/>
      <c r="D15" s="576"/>
      <c r="E15" s="495"/>
      <c r="F15" s="43"/>
      <c r="G15" s="19"/>
      <c r="H15" s="492"/>
      <c r="I15" s="32">
        <v>17.600000000000001</v>
      </c>
      <c r="J15" s="43">
        <v>1500</v>
      </c>
      <c r="K15" s="18">
        <f t="shared" si="1"/>
        <v>85.22727272727272</v>
      </c>
      <c r="L15" s="32">
        <v>17.600000000000001</v>
      </c>
      <c r="M15" s="19">
        <f>AVERAGE(M10:M14)</f>
        <v>1432.5329455273854</v>
      </c>
      <c r="N15" s="18">
        <f t="shared" si="3"/>
        <v>81.393917359510525</v>
      </c>
      <c r="O15" s="20">
        <f t="shared" si="4"/>
        <v>0</v>
      </c>
      <c r="P15" s="21">
        <f t="shared" si="5"/>
        <v>-3.833355367762195</v>
      </c>
      <c r="Q15" s="494">
        <f t="shared" si="6"/>
        <v>0.95502196368492354</v>
      </c>
      <c r="R15" s="573"/>
      <c r="S15" s="49"/>
      <c r="T15" s="49"/>
      <c r="U15" s="18"/>
      <c r="V15" s="490"/>
      <c r="W15" s="18"/>
      <c r="X15" s="18"/>
      <c r="Y15" s="33">
        <f>SUM(Y10:Y14)</f>
        <v>0</v>
      </c>
      <c r="Z15" s="33">
        <f>SUM(Z10:Z14)</f>
        <v>0</v>
      </c>
      <c r="AA15" s="572"/>
      <c r="AB15" s="572"/>
      <c r="AC15" s="33">
        <v>5</v>
      </c>
      <c r="AD15" s="33">
        <f>SUM(AD10:AD14)</f>
        <v>0</v>
      </c>
      <c r="AE15" s="20">
        <f t="shared" si="8"/>
        <v>-67.467054472614564</v>
      </c>
      <c r="AF15" s="494">
        <f t="shared" si="9"/>
        <v>0.95502196368492365</v>
      </c>
      <c r="AG15" s="573"/>
    </row>
    <row r="16" spans="1:33" ht="16.5" customHeight="1">
      <c r="A16" s="600" t="s">
        <v>50</v>
      </c>
      <c r="B16" s="492" t="s">
        <v>82</v>
      </c>
      <c r="C16" s="594" t="s">
        <v>83</v>
      </c>
      <c r="D16" s="594"/>
      <c r="E16" s="39">
        <v>41</v>
      </c>
      <c r="F16" s="492">
        <v>1892</v>
      </c>
      <c r="G16" s="489">
        <f t="shared" ref="G16:G23" si="15">E16*F16</f>
        <v>77572</v>
      </c>
      <c r="H16" s="48" t="s">
        <v>126</v>
      </c>
      <c r="I16" s="491">
        <v>26</v>
      </c>
      <c r="J16" s="43">
        <v>1500</v>
      </c>
      <c r="K16" s="18">
        <f t="shared" si="1"/>
        <v>57.692307692307693</v>
      </c>
      <c r="L16" s="491">
        <v>26</v>
      </c>
      <c r="M16" s="19">
        <f t="shared" ref="M16:M23" si="16">F16/V16*60</f>
        <v>1436.9620253164558</v>
      </c>
      <c r="N16" s="18">
        <f t="shared" si="3"/>
        <v>55.267770204479071</v>
      </c>
      <c r="O16" s="20">
        <f t="shared" si="4"/>
        <v>0</v>
      </c>
      <c r="P16" s="21">
        <f t="shared" si="5"/>
        <v>-2.4245374878286228</v>
      </c>
      <c r="Q16" s="494">
        <f t="shared" si="6"/>
        <v>0.95797468354430382</v>
      </c>
      <c r="R16" s="573">
        <f>Q24</f>
        <v>0.95817366771488011</v>
      </c>
      <c r="S16" s="49">
        <v>0.20833333333333334</v>
      </c>
      <c r="T16" s="49">
        <v>0.26319444444444445</v>
      </c>
      <c r="U16" s="489"/>
      <c r="V16" s="490">
        <f t="shared" ref="V16:V23" si="17">(T16-S16)*24*60</f>
        <v>79</v>
      </c>
      <c r="W16" s="30"/>
      <c r="X16" s="30"/>
      <c r="Y16" s="30"/>
      <c r="Z16" s="30"/>
      <c r="AA16" s="575"/>
      <c r="AB16" s="575"/>
      <c r="AC16" s="50">
        <v>8</v>
      </c>
      <c r="AD16" s="27"/>
      <c r="AE16" s="20">
        <f t="shared" si="8"/>
        <v>-63.037974683544235</v>
      </c>
      <c r="AF16" s="494">
        <f t="shared" si="9"/>
        <v>0.95797468354430382</v>
      </c>
      <c r="AG16" s="573">
        <f>AF24</f>
        <v>0.95817366771488011</v>
      </c>
    </row>
    <row r="17" spans="1:33" ht="16.5" customHeight="1">
      <c r="A17" s="601" t="s">
        <v>2246</v>
      </c>
      <c r="B17" s="492" t="s">
        <v>82</v>
      </c>
      <c r="C17" s="594" t="s">
        <v>3037</v>
      </c>
      <c r="D17" s="594"/>
      <c r="E17" s="39">
        <v>38.619999999999997</v>
      </c>
      <c r="F17" s="492">
        <v>2205</v>
      </c>
      <c r="G17" s="489">
        <f t="shared" si="15"/>
        <v>85157.099999999991</v>
      </c>
      <c r="H17" s="48" t="s">
        <v>126</v>
      </c>
      <c r="I17" s="491">
        <v>24</v>
      </c>
      <c r="J17" s="43">
        <v>1500</v>
      </c>
      <c r="K17" s="18">
        <f t="shared" si="1"/>
        <v>62.5</v>
      </c>
      <c r="L17" s="491">
        <v>24</v>
      </c>
      <c r="M17" s="19">
        <f t="shared" si="16"/>
        <v>1438.0434782608695</v>
      </c>
      <c r="N17" s="18">
        <f t="shared" si="3"/>
        <v>59.918478260869563</v>
      </c>
      <c r="O17" s="20">
        <f t="shared" si="4"/>
        <v>0</v>
      </c>
      <c r="P17" s="21">
        <f t="shared" si="5"/>
        <v>-2.5815217391304373</v>
      </c>
      <c r="Q17" s="494">
        <f t="shared" si="6"/>
        <v>0.95869565217391295</v>
      </c>
      <c r="R17" s="573"/>
      <c r="S17" s="49">
        <v>0.26874999999999999</v>
      </c>
      <c r="T17" s="49">
        <v>0.33263888888888887</v>
      </c>
      <c r="U17" s="489">
        <f t="shared" ref="U17:U23" si="18">IF(S17=TIME(17,0,0),"",(S17-T16)*24*60)</f>
        <v>7.9999999999999716</v>
      </c>
      <c r="V17" s="490">
        <f t="shared" si="17"/>
        <v>92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-61.956521739130494</v>
      </c>
      <c r="AF17" s="494">
        <f t="shared" si="9"/>
        <v>0.95869565217391295</v>
      </c>
      <c r="AG17" s="573"/>
    </row>
    <row r="18" spans="1:33" ht="16.5" customHeight="1">
      <c r="A18" s="601" t="s">
        <v>3128</v>
      </c>
      <c r="B18" s="492" t="s">
        <v>74</v>
      </c>
      <c r="C18" s="594" t="s">
        <v>2623</v>
      </c>
      <c r="D18" s="594"/>
      <c r="E18" s="39">
        <v>37.03</v>
      </c>
      <c r="F18" s="492">
        <v>3836</v>
      </c>
      <c r="G18" s="489">
        <f t="shared" si="15"/>
        <v>142047.08000000002</v>
      </c>
      <c r="H18" s="48" t="s">
        <v>126</v>
      </c>
      <c r="I18" s="491">
        <v>13</v>
      </c>
      <c r="J18" s="43">
        <v>1500</v>
      </c>
      <c r="K18" s="18">
        <f t="shared" si="1"/>
        <v>115.38461538461539</v>
      </c>
      <c r="L18" s="491">
        <v>13</v>
      </c>
      <c r="M18" s="19">
        <f t="shared" si="16"/>
        <v>1429.5652173913043</v>
      </c>
      <c r="N18" s="18">
        <f t="shared" si="3"/>
        <v>109.96655518394648</v>
      </c>
      <c r="O18" s="20">
        <f t="shared" si="4"/>
        <v>0</v>
      </c>
      <c r="P18" s="21">
        <f t="shared" si="5"/>
        <v>-5.4180602006689043</v>
      </c>
      <c r="Q18" s="494">
        <f t="shared" si="6"/>
        <v>0.95304347826086955</v>
      </c>
      <c r="R18" s="573"/>
      <c r="S18" s="49">
        <v>0.33749999999999997</v>
      </c>
      <c r="T18" s="49">
        <v>0.44930555555555551</v>
      </c>
      <c r="U18" s="489">
        <f t="shared" si="18"/>
        <v>6.9999999999999751</v>
      </c>
      <c r="V18" s="490">
        <f t="shared" si="17"/>
        <v>161</v>
      </c>
      <c r="W18" s="25"/>
      <c r="X18" s="25"/>
      <c r="Y18" s="25"/>
      <c r="Z18" s="25"/>
      <c r="AA18" s="575"/>
      <c r="AB18" s="575"/>
      <c r="AC18" s="50"/>
      <c r="AD18" s="27"/>
      <c r="AE18" s="20">
        <f t="shared" si="8"/>
        <v>-70.434782608695741</v>
      </c>
      <c r="AF18" s="494">
        <f t="shared" si="9"/>
        <v>0.95304347826086955</v>
      </c>
      <c r="AG18" s="573"/>
    </row>
    <row r="19" spans="1:33" ht="16.5" customHeight="1">
      <c r="A19" s="601" t="s">
        <v>3128</v>
      </c>
      <c r="B19" s="492" t="s">
        <v>79</v>
      </c>
      <c r="C19" s="594" t="s">
        <v>1953</v>
      </c>
      <c r="D19" s="594"/>
      <c r="E19" s="39">
        <v>39.46</v>
      </c>
      <c r="F19" s="492">
        <v>2053</v>
      </c>
      <c r="G19" s="489">
        <f t="shared" si="15"/>
        <v>81011.38</v>
      </c>
      <c r="H19" s="48" t="s">
        <v>126</v>
      </c>
      <c r="I19" s="491">
        <v>16</v>
      </c>
      <c r="J19" s="43">
        <v>1500</v>
      </c>
      <c r="K19" s="18">
        <f t="shared" si="1"/>
        <v>93.75</v>
      </c>
      <c r="L19" s="491">
        <v>16</v>
      </c>
      <c r="M19" s="19">
        <f t="shared" si="16"/>
        <v>1432.3255813953488</v>
      </c>
      <c r="N19" s="18">
        <f t="shared" si="3"/>
        <v>89.520348837209298</v>
      </c>
      <c r="O19" s="20">
        <f t="shared" si="4"/>
        <v>0</v>
      </c>
      <c r="P19" s="21">
        <f t="shared" si="5"/>
        <v>-4.2296511627907023</v>
      </c>
      <c r="Q19" s="494">
        <f t="shared" si="6"/>
        <v>0.95488372093023255</v>
      </c>
      <c r="R19" s="573"/>
      <c r="S19" s="49">
        <v>0.45277777777777772</v>
      </c>
      <c r="T19" s="49">
        <v>0.51249999999999996</v>
      </c>
      <c r="U19" s="489">
        <f t="shared" si="18"/>
        <v>4.9999999999999822</v>
      </c>
      <c r="V19" s="490">
        <f t="shared" si="17"/>
        <v>86.000000000000014</v>
      </c>
      <c r="W19" s="25">
        <f>T19</f>
        <v>0.51249999999999996</v>
      </c>
      <c r="X19" s="25">
        <f>S20</f>
        <v>0.5527777777777777</v>
      </c>
      <c r="Y19" s="25"/>
      <c r="Z19" s="25"/>
      <c r="AA19" s="575"/>
      <c r="AB19" s="575"/>
      <c r="AC19" s="50"/>
      <c r="AD19" s="27"/>
      <c r="AE19" s="20">
        <f t="shared" si="8"/>
        <v>-67.674418604651237</v>
      </c>
      <c r="AF19" s="494">
        <f t="shared" si="9"/>
        <v>0.95488372093023255</v>
      </c>
      <c r="AG19" s="573"/>
    </row>
    <row r="20" spans="1:33" ht="16.5" customHeight="1">
      <c r="A20" s="601" t="s">
        <v>50</v>
      </c>
      <c r="B20" s="492" t="s">
        <v>94</v>
      </c>
      <c r="C20" s="594" t="s">
        <v>1231</v>
      </c>
      <c r="D20" s="594"/>
      <c r="E20" s="39">
        <v>25.99</v>
      </c>
      <c r="F20" s="492">
        <v>1690</v>
      </c>
      <c r="G20" s="489">
        <f t="shared" si="15"/>
        <v>43923.1</v>
      </c>
      <c r="H20" s="48" t="s">
        <v>126</v>
      </c>
      <c r="I20" s="491">
        <v>18</v>
      </c>
      <c r="J20" s="43">
        <v>2400</v>
      </c>
      <c r="K20" s="18">
        <f t="shared" si="1"/>
        <v>133.33333333333334</v>
      </c>
      <c r="L20" s="491">
        <v>18</v>
      </c>
      <c r="M20" s="19">
        <f t="shared" si="16"/>
        <v>2304.5454545454545</v>
      </c>
      <c r="N20" s="18">
        <f t="shared" si="3"/>
        <v>128.03030303030303</v>
      </c>
      <c r="O20" s="20">
        <f t="shared" si="4"/>
        <v>0</v>
      </c>
      <c r="P20" s="21">
        <f t="shared" si="5"/>
        <v>-5.3030303030303116</v>
      </c>
      <c r="Q20" s="494">
        <f t="shared" si="6"/>
        <v>0.96022727272727271</v>
      </c>
      <c r="R20" s="573"/>
      <c r="S20" s="49">
        <v>0.5527777777777777</v>
      </c>
      <c r="T20" s="49">
        <v>0.58333333333333326</v>
      </c>
      <c r="U20" s="489">
        <f t="shared" si="18"/>
        <v>57.999999999999957</v>
      </c>
      <c r="V20" s="490">
        <f t="shared" si="17"/>
        <v>44</v>
      </c>
      <c r="W20" s="25"/>
      <c r="X20" s="25"/>
      <c r="Y20" s="25"/>
      <c r="Z20" s="25"/>
      <c r="AA20" s="575"/>
      <c r="AB20" s="575"/>
      <c r="AC20" s="50"/>
      <c r="AD20" s="27"/>
      <c r="AE20" s="20">
        <f t="shared" si="8"/>
        <v>-95.454545454545496</v>
      </c>
      <c r="AF20" s="494">
        <f t="shared" si="9"/>
        <v>0.96022727272727271</v>
      </c>
      <c r="AG20" s="573"/>
    </row>
    <row r="21" spans="1:33" ht="16.5" customHeight="1">
      <c r="A21" s="601" t="s">
        <v>2246</v>
      </c>
      <c r="B21" s="492" t="s">
        <v>74</v>
      </c>
      <c r="C21" s="501" t="s">
        <v>85</v>
      </c>
      <c r="D21" s="502"/>
      <c r="E21" s="39">
        <v>53.68</v>
      </c>
      <c r="F21" s="492">
        <v>1386</v>
      </c>
      <c r="G21" s="489">
        <f t="shared" si="15"/>
        <v>74400.479999999996</v>
      </c>
      <c r="H21" s="48" t="s">
        <v>126</v>
      </c>
      <c r="I21" s="491">
        <v>16</v>
      </c>
      <c r="J21" s="43">
        <v>1500</v>
      </c>
      <c r="K21" s="18">
        <f t="shared" si="1"/>
        <v>93.75</v>
      </c>
      <c r="L21" s="491">
        <v>16</v>
      </c>
      <c r="M21" s="19">
        <f t="shared" si="16"/>
        <v>1433.793103448277</v>
      </c>
      <c r="N21" s="18">
        <f t="shared" si="3"/>
        <v>89.612068965517309</v>
      </c>
      <c r="O21" s="20">
        <f t="shared" si="4"/>
        <v>0</v>
      </c>
      <c r="P21" s="21">
        <f t="shared" si="5"/>
        <v>-4.1379310344826905</v>
      </c>
      <c r="Q21" s="494">
        <f t="shared" si="6"/>
        <v>0.95586206896551795</v>
      </c>
      <c r="R21" s="573"/>
      <c r="S21" s="49">
        <v>0.70833333333333337</v>
      </c>
      <c r="T21" s="49">
        <v>0.74861111111111112</v>
      </c>
      <c r="U21" s="489" t="str">
        <f t="shared" si="18"/>
        <v/>
      </c>
      <c r="V21" s="490">
        <f t="shared" si="17"/>
        <v>57.999999999999957</v>
      </c>
      <c r="W21" s="25"/>
      <c r="X21" s="25"/>
      <c r="Y21" s="28"/>
      <c r="Z21" s="28"/>
      <c r="AA21" s="496"/>
      <c r="AB21" s="497"/>
      <c r="AC21" s="50"/>
      <c r="AD21" s="27"/>
      <c r="AE21" s="20">
        <f t="shared" si="8"/>
        <v>-66.206896551723048</v>
      </c>
      <c r="AF21" s="494">
        <f t="shared" si="9"/>
        <v>0.95586206896551795</v>
      </c>
      <c r="AG21" s="573"/>
    </row>
    <row r="22" spans="1:33" ht="16.5" customHeight="1">
      <c r="A22" s="601" t="s">
        <v>2246</v>
      </c>
      <c r="B22" s="492" t="s">
        <v>74</v>
      </c>
      <c r="C22" s="501" t="s">
        <v>78</v>
      </c>
      <c r="D22" s="502"/>
      <c r="E22" s="39">
        <v>52.86</v>
      </c>
      <c r="F22" s="492">
        <v>1679</v>
      </c>
      <c r="G22" s="489">
        <f t="shared" si="15"/>
        <v>88751.94</v>
      </c>
      <c r="H22" s="48" t="s">
        <v>126</v>
      </c>
      <c r="I22" s="491">
        <v>16</v>
      </c>
      <c r="J22" s="43">
        <v>2000</v>
      </c>
      <c r="K22" s="18">
        <f t="shared" si="1"/>
        <v>125</v>
      </c>
      <c r="L22" s="491">
        <v>16</v>
      </c>
      <c r="M22" s="19">
        <f t="shared" si="16"/>
        <v>1937.3076923076933</v>
      </c>
      <c r="N22" s="18">
        <f t="shared" si="3"/>
        <v>121.08173076923083</v>
      </c>
      <c r="O22" s="20">
        <f t="shared" si="4"/>
        <v>0</v>
      </c>
      <c r="P22" s="21">
        <f t="shared" si="5"/>
        <v>-3.9182692307691696</v>
      </c>
      <c r="Q22" s="494">
        <f t="shared" si="6"/>
        <v>0.96865384615384664</v>
      </c>
      <c r="R22" s="573"/>
      <c r="S22" s="49">
        <v>0.75277777777777777</v>
      </c>
      <c r="T22" s="49">
        <v>0.78888888888888886</v>
      </c>
      <c r="U22" s="489">
        <f t="shared" si="18"/>
        <v>5.9999999999999787</v>
      </c>
      <c r="V22" s="490">
        <f t="shared" si="17"/>
        <v>51.999999999999972</v>
      </c>
      <c r="W22" s="25"/>
      <c r="X22" s="25"/>
      <c r="Y22" s="28"/>
      <c r="Z22" s="28"/>
      <c r="AA22" s="496"/>
      <c r="AB22" s="497"/>
      <c r="AC22" s="50"/>
      <c r="AD22" s="27"/>
      <c r="AE22" s="20">
        <f t="shared" si="8"/>
        <v>-62.692307692306713</v>
      </c>
      <c r="AF22" s="494">
        <f t="shared" si="9"/>
        <v>0.96865384615384664</v>
      </c>
      <c r="AG22" s="573"/>
    </row>
    <row r="23" spans="1:33" ht="16.5" customHeight="1">
      <c r="A23" s="601" t="s">
        <v>2246</v>
      </c>
      <c r="B23" s="492" t="s">
        <v>74</v>
      </c>
      <c r="C23" s="501" t="s">
        <v>75</v>
      </c>
      <c r="D23" s="502"/>
      <c r="E23" s="39">
        <v>50.67</v>
      </c>
      <c r="F23" s="492">
        <v>1779</v>
      </c>
      <c r="G23" s="489">
        <f t="shared" si="15"/>
        <v>90141.930000000008</v>
      </c>
      <c r="H23" s="48" t="s">
        <v>126</v>
      </c>
      <c r="I23" s="491">
        <v>17</v>
      </c>
      <c r="J23" s="43">
        <v>2000</v>
      </c>
      <c r="K23" s="18">
        <f t="shared" si="1"/>
        <v>117.64705882352941</v>
      </c>
      <c r="L23" s="491">
        <v>17</v>
      </c>
      <c r="M23" s="19">
        <f t="shared" si="16"/>
        <v>1906.07142857143</v>
      </c>
      <c r="N23" s="18">
        <f t="shared" si="3"/>
        <v>112.12184873949589</v>
      </c>
      <c r="O23" s="20">
        <f t="shared" si="4"/>
        <v>0</v>
      </c>
      <c r="P23" s="21">
        <f t="shared" si="5"/>
        <v>-5.5252100840335174</v>
      </c>
      <c r="Q23" s="494">
        <f t="shared" si="6"/>
        <v>0.9530357142857151</v>
      </c>
      <c r="R23" s="573"/>
      <c r="S23" s="49">
        <v>0.79374999999999996</v>
      </c>
      <c r="T23" s="49">
        <v>0.83263888888888882</v>
      </c>
      <c r="U23" s="489">
        <f t="shared" si="18"/>
        <v>6.9999999999999751</v>
      </c>
      <c r="V23" s="490">
        <f t="shared" si="17"/>
        <v>55.999999999999957</v>
      </c>
      <c r="W23" s="25"/>
      <c r="X23" s="25"/>
      <c r="Y23" s="28"/>
      <c r="Z23" s="28"/>
      <c r="AA23" s="496"/>
      <c r="AB23" s="497"/>
      <c r="AC23" s="50"/>
      <c r="AD23" s="27"/>
      <c r="AE23" s="20">
        <f t="shared" si="8"/>
        <v>-93.928571428569967</v>
      </c>
      <c r="AF23" s="494">
        <f t="shared" si="9"/>
        <v>0.95303571428571499</v>
      </c>
      <c r="AG23" s="573"/>
    </row>
    <row r="24" spans="1:33" ht="16.5" customHeight="1">
      <c r="A24" s="601" t="s">
        <v>2246</v>
      </c>
      <c r="B24" s="39" t="s">
        <v>3124</v>
      </c>
      <c r="C24" s="576"/>
      <c r="D24" s="576"/>
      <c r="E24" s="495"/>
      <c r="F24" s="42"/>
      <c r="G24" s="18"/>
      <c r="H24" s="492"/>
      <c r="I24" s="32">
        <v>18.25</v>
      </c>
      <c r="J24" s="43">
        <v>1737.5</v>
      </c>
      <c r="K24" s="18">
        <f t="shared" si="1"/>
        <v>95.205479452054789</v>
      </c>
      <c r="L24" s="32">
        <v>18.25</v>
      </c>
      <c r="M24" s="19">
        <f>AVERAGE(M16:M23)</f>
        <v>1664.8267476546041</v>
      </c>
      <c r="N24" s="18">
        <f t="shared" si="3"/>
        <v>91.223383433128987</v>
      </c>
      <c r="O24" s="20">
        <f t="shared" si="4"/>
        <v>0</v>
      </c>
      <c r="P24" s="21">
        <f t="shared" si="5"/>
        <v>-3.9820960189258017</v>
      </c>
      <c r="Q24" s="494">
        <f t="shared" si="6"/>
        <v>0.95817366771488011</v>
      </c>
      <c r="R24" s="573"/>
      <c r="S24" s="49"/>
      <c r="T24" s="49"/>
      <c r="U24" s="489"/>
      <c r="V24" s="490"/>
      <c r="W24" s="18"/>
      <c r="X24" s="18"/>
      <c r="Y24" s="33">
        <f>SUM(Y16:Y23)</f>
        <v>0</v>
      </c>
      <c r="Z24" s="33">
        <f>SUM(Z16:Z23)</f>
        <v>0</v>
      </c>
      <c r="AA24" s="572"/>
      <c r="AB24" s="572"/>
      <c r="AC24" s="33">
        <v>8</v>
      </c>
      <c r="AD24" s="33">
        <f>SUM(AD16:AD23)</f>
        <v>0</v>
      </c>
      <c r="AE24" s="20">
        <f t="shared" si="8"/>
        <v>-72.673252345395895</v>
      </c>
      <c r="AF24" s="494">
        <f t="shared" si="9"/>
        <v>0.95817366771488011</v>
      </c>
      <c r="AG24" s="573"/>
    </row>
    <row r="25" spans="1:33" ht="15.75" customHeight="1">
      <c r="A25" s="596" t="s">
        <v>3129</v>
      </c>
      <c r="B25" s="39" t="s">
        <v>74</v>
      </c>
      <c r="C25" s="594" t="s">
        <v>84</v>
      </c>
      <c r="D25" s="594"/>
      <c r="E25" s="39">
        <v>54.09</v>
      </c>
      <c r="F25" s="492">
        <v>1908</v>
      </c>
      <c r="G25" s="489">
        <f t="shared" ref="G25:G30" si="19">E25*F25</f>
        <v>103203.72</v>
      </c>
      <c r="H25" s="48" t="s">
        <v>126</v>
      </c>
      <c r="I25" s="491">
        <v>17</v>
      </c>
      <c r="J25" s="43">
        <v>1500</v>
      </c>
      <c r="K25" s="18">
        <f t="shared" si="1"/>
        <v>88.235294117647058</v>
      </c>
      <c r="L25" s="491">
        <v>17</v>
      </c>
      <c r="M25" s="19">
        <f t="shared" ref="M25:M30" si="20">F25/V25*60</f>
        <v>1431</v>
      </c>
      <c r="N25" s="18">
        <f t="shared" si="3"/>
        <v>84.17647058823529</v>
      </c>
      <c r="O25" s="20">
        <f t="shared" si="4"/>
        <v>0</v>
      </c>
      <c r="P25" s="21">
        <f t="shared" si="5"/>
        <v>-4.058823529411768</v>
      </c>
      <c r="Q25" s="494">
        <f t="shared" si="6"/>
        <v>0.95399999999999996</v>
      </c>
      <c r="R25" s="573">
        <f>Q31</f>
        <v>0.95531782671298959</v>
      </c>
      <c r="S25" s="49">
        <v>0.20833333333333334</v>
      </c>
      <c r="T25" s="49">
        <v>0.2638888888888889</v>
      </c>
      <c r="U25" s="489"/>
      <c r="V25" s="490">
        <f t="shared" ref="V25:V30" si="21">(T25-S25)*24*60</f>
        <v>80</v>
      </c>
      <c r="W25" s="30"/>
      <c r="X25" s="30"/>
      <c r="Y25" s="30"/>
      <c r="Z25" s="30"/>
      <c r="AA25" s="575"/>
      <c r="AB25" s="575"/>
      <c r="AC25" s="50">
        <v>6</v>
      </c>
      <c r="AD25" s="27"/>
      <c r="AE25" s="20">
        <f t="shared" si="8"/>
        <v>-69</v>
      </c>
      <c r="AF25" s="494">
        <f t="shared" si="9"/>
        <v>0.95399999999999996</v>
      </c>
      <c r="AG25" s="573">
        <f>AF31</f>
        <v>0.95531782671298959</v>
      </c>
    </row>
    <row r="26" spans="1:33" ht="15.75" customHeight="1">
      <c r="A26" s="597" t="s">
        <v>3129</v>
      </c>
      <c r="B26" s="39" t="s">
        <v>74</v>
      </c>
      <c r="C26" s="594" t="s">
        <v>89</v>
      </c>
      <c r="D26" s="594"/>
      <c r="E26" s="39">
        <v>50.67</v>
      </c>
      <c r="F26" s="492">
        <v>2379</v>
      </c>
      <c r="G26" s="489">
        <f t="shared" si="19"/>
        <v>120543.93000000001</v>
      </c>
      <c r="H26" s="48" t="s">
        <v>126</v>
      </c>
      <c r="I26" s="491">
        <v>17</v>
      </c>
      <c r="J26" s="43">
        <v>2000</v>
      </c>
      <c r="K26" s="18">
        <f t="shared" si="1"/>
        <v>117.64705882352941</v>
      </c>
      <c r="L26" s="491">
        <v>17</v>
      </c>
      <c r="M26" s="19">
        <f t="shared" si="20"/>
        <v>1903.2000000000007</v>
      </c>
      <c r="N26" s="18">
        <f t="shared" si="3"/>
        <v>111.95294117647063</v>
      </c>
      <c r="O26" s="20">
        <f t="shared" si="4"/>
        <v>0</v>
      </c>
      <c r="P26" s="21">
        <f t="shared" si="5"/>
        <v>-5.6941176470587749</v>
      </c>
      <c r="Q26" s="494">
        <f t="shared" si="6"/>
        <v>0.95160000000000045</v>
      </c>
      <c r="R26" s="573"/>
      <c r="S26" s="49">
        <v>0.26944444444444443</v>
      </c>
      <c r="T26" s="49">
        <v>0.32152777777777775</v>
      </c>
      <c r="U26" s="489">
        <f t="shared" ref="U26:U30" si="22">IF(S26=TIME(17,0,0),"",(S26-T25)*24*60)</f>
        <v>7.9999999999999716</v>
      </c>
      <c r="V26" s="490">
        <f t="shared" si="21"/>
        <v>74.999999999999972</v>
      </c>
      <c r="W26" s="25"/>
      <c r="X26" s="489"/>
      <c r="Y26" s="489"/>
      <c r="Z26" s="489"/>
      <c r="AA26" s="575"/>
      <c r="AB26" s="575"/>
      <c r="AC26" s="50"/>
      <c r="AD26" s="27"/>
      <c r="AE26" s="20">
        <f t="shared" si="8"/>
        <v>-96.799999999999272</v>
      </c>
      <c r="AF26" s="494">
        <f t="shared" si="9"/>
        <v>0.95160000000000033</v>
      </c>
      <c r="AG26" s="573"/>
    </row>
    <row r="27" spans="1:33" ht="15.75" customHeight="1">
      <c r="A27" s="597" t="s">
        <v>3129</v>
      </c>
      <c r="B27" s="39" t="s">
        <v>74</v>
      </c>
      <c r="C27" s="594" t="s">
        <v>90</v>
      </c>
      <c r="D27" s="594"/>
      <c r="E27" s="39">
        <v>57.73</v>
      </c>
      <c r="F27" s="492">
        <v>2721</v>
      </c>
      <c r="G27" s="489">
        <f t="shared" si="19"/>
        <v>157083.32999999999</v>
      </c>
      <c r="H27" s="48" t="s">
        <v>126</v>
      </c>
      <c r="I27" s="491">
        <v>14</v>
      </c>
      <c r="J27" s="43">
        <v>2000</v>
      </c>
      <c r="K27" s="18">
        <f t="shared" si="1"/>
        <v>142.85714285714286</v>
      </c>
      <c r="L27" s="491">
        <v>14</v>
      </c>
      <c r="M27" s="19">
        <f t="shared" si="20"/>
        <v>1920.705882352941</v>
      </c>
      <c r="N27" s="18">
        <f t="shared" si="3"/>
        <v>137.19327731092434</v>
      </c>
      <c r="O27" s="20">
        <f t="shared" si="4"/>
        <v>0</v>
      </c>
      <c r="P27" s="21">
        <f t="shared" si="5"/>
        <v>-5.663865546218517</v>
      </c>
      <c r="Q27" s="494">
        <f t="shared" si="6"/>
        <v>0.96035294117647041</v>
      </c>
      <c r="R27" s="573"/>
      <c r="S27" s="49">
        <v>0.32499999999999996</v>
      </c>
      <c r="T27" s="49">
        <v>0.38402777777777775</v>
      </c>
      <c r="U27" s="489">
        <f t="shared" si="22"/>
        <v>4.9999999999999822</v>
      </c>
      <c r="V27" s="490">
        <f t="shared" si="21"/>
        <v>85.000000000000014</v>
      </c>
      <c r="W27" s="25"/>
      <c r="X27" s="489"/>
      <c r="Y27" s="489"/>
      <c r="Z27" s="489"/>
      <c r="AA27" s="575"/>
      <c r="AB27" s="575"/>
      <c r="AC27" s="50"/>
      <c r="AD27" s="27"/>
      <c r="AE27" s="20">
        <f t="shared" si="8"/>
        <v>-79.294117647059011</v>
      </c>
      <c r="AF27" s="494">
        <f t="shared" si="9"/>
        <v>0.96035294117647052</v>
      </c>
      <c r="AG27" s="573"/>
    </row>
    <row r="28" spans="1:33" ht="15.75" customHeight="1">
      <c r="A28" s="597" t="s">
        <v>3129</v>
      </c>
      <c r="B28" s="39" t="s">
        <v>74</v>
      </c>
      <c r="C28" s="594" t="s">
        <v>1232</v>
      </c>
      <c r="D28" s="594"/>
      <c r="E28" s="39">
        <v>53.27</v>
      </c>
      <c r="F28" s="492">
        <v>2334</v>
      </c>
      <c r="G28" s="489">
        <f t="shared" si="19"/>
        <v>124332.18000000001</v>
      </c>
      <c r="H28" s="48" t="s">
        <v>126</v>
      </c>
      <c r="I28" s="491">
        <v>16</v>
      </c>
      <c r="J28" s="43">
        <v>2000</v>
      </c>
      <c r="K28" s="18">
        <f t="shared" si="1"/>
        <v>125</v>
      </c>
      <c r="L28" s="491">
        <v>16</v>
      </c>
      <c r="M28" s="19">
        <f t="shared" si="20"/>
        <v>1918.3561643835621</v>
      </c>
      <c r="N28" s="18">
        <f t="shared" si="3"/>
        <v>119.89726027397263</v>
      </c>
      <c r="O28" s="20">
        <f t="shared" si="4"/>
        <v>0</v>
      </c>
      <c r="P28" s="21">
        <f t="shared" si="5"/>
        <v>-5.1027397260273659</v>
      </c>
      <c r="Q28" s="494">
        <f t="shared" si="6"/>
        <v>0.95917808219178102</v>
      </c>
      <c r="R28" s="573"/>
      <c r="S28" s="49">
        <v>0.38888888888888884</v>
      </c>
      <c r="T28" s="49">
        <v>0.43958333333333327</v>
      </c>
      <c r="U28" s="489">
        <f t="shared" si="22"/>
        <v>6.9999999999999751</v>
      </c>
      <c r="V28" s="490">
        <f t="shared" si="21"/>
        <v>72.999999999999986</v>
      </c>
      <c r="W28" s="25"/>
      <c r="X28" s="489"/>
      <c r="Y28" s="489"/>
      <c r="Z28" s="489"/>
      <c r="AA28" s="575"/>
      <c r="AB28" s="575"/>
      <c r="AC28" s="50"/>
      <c r="AD28" s="27"/>
      <c r="AE28" s="20">
        <f t="shared" si="8"/>
        <v>-81.643835616437855</v>
      </c>
      <c r="AF28" s="494">
        <f t="shared" si="9"/>
        <v>0.95917808219178102</v>
      </c>
      <c r="AG28" s="573"/>
    </row>
    <row r="29" spans="1:33" ht="15.75" customHeight="1">
      <c r="A29" s="597" t="s">
        <v>3129</v>
      </c>
      <c r="B29" s="39" t="s">
        <v>74</v>
      </c>
      <c r="C29" s="594" t="s">
        <v>92</v>
      </c>
      <c r="D29" s="594"/>
      <c r="E29" s="39">
        <v>50.49</v>
      </c>
      <c r="F29" s="492">
        <v>2162</v>
      </c>
      <c r="G29" s="489">
        <f t="shared" si="19"/>
        <v>109159.38</v>
      </c>
      <c r="H29" s="48" t="s">
        <v>126</v>
      </c>
      <c r="I29" s="491">
        <v>15</v>
      </c>
      <c r="J29" s="43">
        <v>2000</v>
      </c>
      <c r="K29" s="18">
        <f t="shared" si="1"/>
        <v>133.33333333333334</v>
      </c>
      <c r="L29" s="491">
        <v>15</v>
      </c>
      <c r="M29" s="19">
        <f t="shared" si="20"/>
        <v>1907.647058823532</v>
      </c>
      <c r="N29" s="18">
        <f t="shared" si="3"/>
        <v>127.17647058823546</v>
      </c>
      <c r="O29" s="20">
        <f t="shared" si="4"/>
        <v>0</v>
      </c>
      <c r="P29" s="21">
        <f t="shared" si="5"/>
        <v>-6.1568627450978823</v>
      </c>
      <c r="Q29" s="494">
        <f t="shared" si="6"/>
        <v>0.95382352941176585</v>
      </c>
      <c r="R29" s="573"/>
      <c r="S29" s="49">
        <v>0.70833333333333337</v>
      </c>
      <c r="T29" s="49">
        <v>0.75555555555555554</v>
      </c>
      <c r="U29" s="489" t="str">
        <f t="shared" si="22"/>
        <v/>
      </c>
      <c r="V29" s="490">
        <f t="shared" si="21"/>
        <v>67.999999999999915</v>
      </c>
      <c r="W29" s="25"/>
      <c r="X29" s="25"/>
      <c r="Y29" s="489"/>
      <c r="Z29" s="489"/>
      <c r="AA29" s="575"/>
      <c r="AB29" s="575"/>
      <c r="AC29" s="50"/>
      <c r="AD29" s="27"/>
      <c r="AE29" s="20">
        <f t="shared" si="8"/>
        <v>-92.352941176467994</v>
      </c>
      <c r="AF29" s="494">
        <f t="shared" si="9"/>
        <v>0.95382352941176596</v>
      </c>
      <c r="AG29" s="573"/>
    </row>
    <row r="30" spans="1:33" ht="15.75" customHeight="1">
      <c r="A30" s="597" t="s">
        <v>3129</v>
      </c>
      <c r="B30" s="39" t="s">
        <v>74</v>
      </c>
      <c r="C30" s="594" t="s">
        <v>2524</v>
      </c>
      <c r="D30" s="594"/>
      <c r="E30" s="39">
        <v>56.43</v>
      </c>
      <c r="F30" s="492">
        <v>1937</v>
      </c>
      <c r="G30" s="489">
        <f t="shared" si="19"/>
        <v>109304.91</v>
      </c>
      <c r="H30" s="48" t="s">
        <v>126</v>
      </c>
      <c r="I30" s="491">
        <v>13</v>
      </c>
      <c r="J30" s="43">
        <v>2000</v>
      </c>
      <c r="K30" s="18">
        <f t="shared" si="1"/>
        <v>153.84615384615384</v>
      </c>
      <c r="L30" s="491">
        <v>13</v>
      </c>
      <c r="M30" s="19">
        <f t="shared" si="20"/>
        <v>1905.2459016393461</v>
      </c>
      <c r="N30" s="18">
        <f t="shared" si="3"/>
        <v>146.55737704918047</v>
      </c>
      <c r="O30" s="20">
        <f t="shared" si="4"/>
        <v>0</v>
      </c>
      <c r="P30" s="21">
        <f t="shared" si="5"/>
        <v>-7.2887767969733659</v>
      </c>
      <c r="Q30" s="494">
        <f t="shared" si="6"/>
        <v>0.95262295081967308</v>
      </c>
      <c r="R30" s="573"/>
      <c r="S30" s="49">
        <v>0.75902777777777775</v>
      </c>
      <c r="T30" s="49">
        <v>0.80138888888888882</v>
      </c>
      <c r="U30" s="489">
        <f t="shared" si="22"/>
        <v>4.9999999999999822</v>
      </c>
      <c r="V30" s="490">
        <f t="shared" si="21"/>
        <v>60.999999999999943</v>
      </c>
      <c r="W30" s="25"/>
      <c r="X30" s="30"/>
      <c r="Y30" s="30"/>
      <c r="Z30" s="30"/>
      <c r="AA30" s="575"/>
      <c r="AB30" s="575"/>
      <c r="AC30" s="50"/>
      <c r="AD30" s="27"/>
      <c r="AE30" s="20">
        <f t="shared" si="8"/>
        <v>-94.75409836065387</v>
      </c>
      <c r="AF30" s="494">
        <f t="shared" si="9"/>
        <v>0.95262295081967308</v>
      </c>
      <c r="AG30" s="573"/>
    </row>
    <row r="31" spans="1:33" ht="15.75" customHeight="1">
      <c r="A31" s="597" t="s">
        <v>3129</v>
      </c>
      <c r="B31" s="39" t="s">
        <v>3124</v>
      </c>
      <c r="C31" s="576"/>
      <c r="D31" s="576"/>
      <c r="E31" s="495"/>
      <c r="F31" s="492"/>
      <c r="G31" s="489"/>
      <c r="H31" s="492"/>
      <c r="I31" s="32">
        <v>15.333333333333334</v>
      </c>
      <c r="J31" s="43">
        <v>1916.6666666666667</v>
      </c>
      <c r="K31" s="18">
        <f t="shared" si="1"/>
        <v>125</v>
      </c>
      <c r="L31" s="32">
        <v>15.333333333333334</v>
      </c>
      <c r="M31" s="19">
        <f>AVERAGE(M25:M30)</f>
        <v>1831.0258345332302</v>
      </c>
      <c r="N31" s="18">
        <f t="shared" si="3"/>
        <v>119.4147283391237</v>
      </c>
      <c r="O31" s="20">
        <f t="shared" si="4"/>
        <v>0</v>
      </c>
      <c r="P31" s="21">
        <f t="shared" si="5"/>
        <v>-5.5852716608763018</v>
      </c>
      <c r="Q31" s="494">
        <f t="shared" si="6"/>
        <v>0.95531782671298959</v>
      </c>
      <c r="R31" s="573"/>
      <c r="S31" s="49"/>
      <c r="T31" s="49"/>
      <c r="U31" s="18"/>
      <c r="V31" s="490"/>
      <c r="W31" s="18"/>
      <c r="X31" s="18"/>
      <c r="Y31" s="33">
        <f>SUM(Y25:Y30)</f>
        <v>0</v>
      </c>
      <c r="Z31" s="33">
        <f>SUM(Z25:Z30)</f>
        <v>0</v>
      </c>
      <c r="AA31" s="572"/>
      <c r="AB31" s="572"/>
      <c r="AC31" s="33">
        <v>6</v>
      </c>
      <c r="AD31" s="33">
        <f>SUM(AD25:AD30)</f>
        <v>0</v>
      </c>
      <c r="AE31" s="20">
        <f t="shared" si="8"/>
        <v>-85.640832133436561</v>
      </c>
      <c r="AF31" s="494">
        <f t="shared" si="9"/>
        <v>0.95531782671298959</v>
      </c>
      <c r="AG31" s="573"/>
    </row>
    <row r="32" spans="1:33" ht="15.75" customHeight="1">
      <c r="A32" s="595" t="s">
        <v>3130</v>
      </c>
      <c r="B32" s="39" t="s">
        <v>94</v>
      </c>
      <c r="C32" s="594" t="s">
        <v>95</v>
      </c>
      <c r="D32" s="594"/>
      <c r="E32" s="39">
        <v>31.29</v>
      </c>
      <c r="F32" s="492">
        <v>6700</v>
      </c>
      <c r="G32" s="489">
        <f t="shared" ref="G32:G38" si="23">E32*F32</f>
        <v>209643</v>
      </c>
      <c r="H32" s="48">
        <v>2</v>
      </c>
      <c r="I32" s="491">
        <v>18</v>
      </c>
      <c r="J32" s="43">
        <v>2400</v>
      </c>
      <c r="K32" s="18">
        <f t="shared" si="1"/>
        <v>133.33333333333334</v>
      </c>
      <c r="L32" s="491">
        <v>18</v>
      </c>
      <c r="M32" s="19">
        <f t="shared" ref="M32:M38" si="24">F32/V32*60</f>
        <v>2284.090909090909</v>
      </c>
      <c r="N32" s="18">
        <f t="shared" si="3"/>
        <v>126.89393939393939</v>
      </c>
      <c r="O32" s="20">
        <f t="shared" si="4"/>
        <v>0</v>
      </c>
      <c r="P32" s="21">
        <f t="shared" si="5"/>
        <v>-6.4393939393939519</v>
      </c>
      <c r="Q32" s="494">
        <f t="shared" si="6"/>
        <v>0.95170454545454541</v>
      </c>
      <c r="R32" s="573">
        <f>Q39</f>
        <v>0.95462703085513645</v>
      </c>
      <c r="S32" s="49">
        <v>8.3333333333333329E-2</v>
      </c>
      <c r="T32" s="49">
        <v>0.20555555555555555</v>
      </c>
      <c r="U32" s="489"/>
      <c r="V32" s="490">
        <f t="shared" ref="V32:V38" si="25">(T32-S32)*24*60</f>
        <v>176</v>
      </c>
      <c r="W32" s="25">
        <f>T32</f>
        <v>0.20555555555555555</v>
      </c>
      <c r="X32" s="25">
        <f>S33</f>
        <v>0.22499999999999998</v>
      </c>
      <c r="Y32" s="25"/>
      <c r="Z32" s="25"/>
      <c r="AA32" s="575"/>
      <c r="AB32" s="575"/>
      <c r="AC32" s="50">
        <v>7</v>
      </c>
      <c r="AD32" s="27"/>
      <c r="AE32" s="20">
        <f t="shared" si="8"/>
        <v>-115.90909090909099</v>
      </c>
      <c r="AF32" s="494">
        <f t="shared" si="9"/>
        <v>0.95170454545454541</v>
      </c>
      <c r="AG32" s="573">
        <f>AF39</f>
        <v>0.95462703085513667</v>
      </c>
    </row>
    <row r="33" spans="1:33" ht="15.75" customHeight="1">
      <c r="A33" s="595" t="s">
        <v>55</v>
      </c>
      <c r="B33" s="39" t="s">
        <v>94</v>
      </c>
      <c r="C33" s="594" t="s">
        <v>97</v>
      </c>
      <c r="D33" s="594"/>
      <c r="E33" s="39">
        <v>26.37</v>
      </c>
      <c r="F33" s="492">
        <v>4600</v>
      </c>
      <c r="G33" s="489">
        <f t="shared" si="23"/>
        <v>121302</v>
      </c>
      <c r="H33" s="48">
        <v>2</v>
      </c>
      <c r="I33" s="491">
        <v>18</v>
      </c>
      <c r="J33" s="43">
        <v>2400</v>
      </c>
      <c r="K33" s="18">
        <f t="shared" si="1"/>
        <v>133.33333333333334</v>
      </c>
      <c r="L33" s="491">
        <v>18</v>
      </c>
      <c r="M33" s="19">
        <f t="shared" si="24"/>
        <v>2300.0000000000005</v>
      </c>
      <c r="N33" s="18">
        <f t="shared" si="3"/>
        <v>127.7777777777778</v>
      </c>
      <c r="O33" s="20">
        <f t="shared" si="4"/>
        <v>0</v>
      </c>
      <c r="P33" s="21">
        <f t="shared" si="5"/>
        <v>-5.5555555555555429</v>
      </c>
      <c r="Q33" s="494">
        <f t="shared" si="6"/>
        <v>0.95833333333333348</v>
      </c>
      <c r="R33" s="573"/>
      <c r="S33" s="49">
        <v>0.22499999999999998</v>
      </c>
      <c r="T33" s="49">
        <v>0.30833333333333329</v>
      </c>
      <c r="U33" s="489">
        <f t="shared" ref="U33:U38" si="26">(S33-T32)*24*60</f>
        <v>27.999999999999979</v>
      </c>
      <c r="V33" s="490">
        <f t="shared" si="25"/>
        <v>119.99999999999997</v>
      </c>
      <c r="W33" s="25"/>
      <c r="X33" s="25"/>
      <c r="Y33" s="25"/>
      <c r="Z33" s="25"/>
      <c r="AA33" s="575"/>
      <c r="AB33" s="575"/>
      <c r="AC33" s="50"/>
      <c r="AD33" s="27"/>
      <c r="AE33" s="20">
        <f t="shared" si="8"/>
        <v>-99.999999999999545</v>
      </c>
      <c r="AF33" s="494">
        <f t="shared" si="9"/>
        <v>0.95833333333333348</v>
      </c>
      <c r="AG33" s="573"/>
    </row>
    <row r="34" spans="1:33" ht="15.75" customHeight="1">
      <c r="A34" s="595" t="s">
        <v>3130</v>
      </c>
      <c r="B34" s="39" t="s">
        <v>94</v>
      </c>
      <c r="C34" s="594" t="s">
        <v>529</v>
      </c>
      <c r="D34" s="594"/>
      <c r="E34" s="39">
        <v>26.18</v>
      </c>
      <c r="F34" s="492">
        <v>5400</v>
      </c>
      <c r="G34" s="489">
        <f t="shared" si="23"/>
        <v>141372</v>
      </c>
      <c r="H34" s="48">
        <v>2</v>
      </c>
      <c r="I34" s="491">
        <v>18</v>
      </c>
      <c r="J34" s="43">
        <v>2400</v>
      </c>
      <c r="K34" s="18">
        <f t="shared" si="1"/>
        <v>133.33333333333334</v>
      </c>
      <c r="L34" s="491">
        <v>18</v>
      </c>
      <c r="M34" s="19">
        <f t="shared" si="24"/>
        <v>2297.8723404255325</v>
      </c>
      <c r="N34" s="18">
        <f t="shared" si="3"/>
        <v>127.65957446808514</v>
      </c>
      <c r="O34" s="20">
        <f t="shared" si="4"/>
        <v>0</v>
      </c>
      <c r="P34" s="21">
        <f t="shared" si="5"/>
        <v>-5.6737588652482032</v>
      </c>
      <c r="Q34" s="494">
        <f t="shared" si="6"/>
        <v>0.95744680851063846</v>
      </c>
      <c r="R34" s="573"/>
      <c r="S34" s="49">
        <v>0.31388888888888883</v>
      </c>
      <c r="T34" s="49">
        <v>0.41180555555555548</v>
      </c>
      <c r="U34" s="489">
        <f t="shared" si="26"/>
        <v>7.9999999999999716</v>
      </c>
      <c r="V34" s="490">
        <f t="shared" si="25"/>
        <v>140.99999999999997</v>
      </c>
      <c r="W34" s="25"/>
      <c r="X34" s="25"/>
      <c r="Y34" s="25"/>
      <c r="Z34" s="25"/>
      <c r="AA34" s="575"/>
      <c r="AB34" s="575"/>
      <c r="AC34" s="50"/>
      <c r="AD34" s="27"/>
      <c r="AE34" s="20">
        <f t="shared" si="8"/>
        <v>-102.12765957446754</v>
      </c>
      <c r="AF34" s="494">
        <f t="shared" si="9"/>
        <v>0.95744680851063857</v>
      </c>
      <c r="AG34" s="573"/>
    </row>
    <row r="35" spans="1:33" ht="15.75" customHeight="1">
      <c r="A35" s="595" t="s">
        <v>3131</v>
      </c>
      <c r="B35" s="39" t="s">
        <v>94</v>
      </c>
      <c r="C35" s="594" t="s">
        <v>98</v>
      </c>
      <c r="D35" s="594"/>
      <c r="E35" s="39">
        <v>25.99</v>
      </c>
      <c r="F35" s="492">
        <v>4999</v>
      </c>
      <c r="G35" s="489">
        <f t="shared" si="23"/>
        <v>129924.01</v>
      </c>
      <c r="H35" s="48" t="s">
        <v>126</v>
      </c>
      <c r="I35" s="491">
        <v>14</v>
      </c>
      <c r="J35" s="43">
        <v>2400</v>
      </c>
      <c r="K35" s="18">
        <f t="shared" si="1"/>
        <v>171.42857142857142</v>
      </c>
      <c r="L35" s="491">
        <v>14</v>
      </c>
      <c r="M35" s="19">
        <f t="shared" si="24"/>
        <v>2289.618320610688</v>
      </c>
      <c r="N35" s="18">
        <f t="shared" si="3"/>
        <v>163.54416575790628</v>
      </c>
      <c r="O35" s="20">
        <f t="shared" si="4"/>
        <v>0</v>
      </c>
      <c r="P35" s="21">
        <f t="shared" si="5"/>
        <v>-7.8844056706651315</v>
      </c>
      <c r="Q35" s="494">
        <f t="shared" si="6"/>
        <v>0.95400763358778673</v>
      </c>
      <c r="R35" s="573"/>
      <c r="S35" s="49">
        <v>0.41527777777777769</v>
      </c>
      <c r="T35" s="49">
        <v>0.50624999999999987</v>
      </c>
      <c r="U35" s="489">
        <f t="shared" si="26"/>
        <v>4.9999999999999822</v>
      </c>
      <c r="V35" s="490">
        <f t="shared" si="25"/>
        <v>130.99999999999994</v>
      </c>
      <c r="W35" s="25">
        <f>T35</f>
        <v>0.50624999999999987</v>
      </c>
      <c r="X35" s="25">
        <f>S36</f>
        <v>0.54444444444444429</v>
      </c>
      <c r="Y35" s="25"/>
      <c r="Z35" s="25"/>
      <c r="AA35" s="575"/>
      <c r="AB35" s="575"/>
      <c r="AC35" s="50"/>
      <c r="AD35" s="27"/>
      <c r="AE35" s="20">
        <f t="shared" si="8"/>
        <v>-110.38167938931201</v>
      </c>
      <c r="AF35" s="494">
        <f t="shared" si="9"/>
        <v>0.95400763358778662</v>
      </c>
      <c r="AG35" s="573"/>
    </row>
    <row r="36" spans="1:33" ht="15.75" customHeight="1">
      <c r="A36" s="595" t="s">
        <v>3131</v>
      </c>
      <c r="B36" s="39" t="s">
        <v>94</v>
      </c>
      <c r="C36" s="594" t="s">
        <v>95</v>
      </c>
      <c r="D36" s="594"/>
      <c r="E36" s="39">
        <v>31.29</v>
      </c>
      <c r="F36" s="492">
        <v>4841</v>
      </c>
      <c r="G36" s="489">
        <f t="shared" si="23"/>
        <v>151474.88999999998</v>
      </c>
      <c r="H36" s="48" t="s">
        <v>126</v>
      </c>
      <c r="I36" s="491">
        <v>18</v>
      </c>
      <c r="J36" s="43">
        <v>2400</v>
      </c>
      <c r="K36" s="18">
        <f t="shared" si="1"/>
        <v>133.33333333333334</v>
      </c>
      <c r="L36" s="491">
        <v>18</v>
      </c>
      <c r="M36" s="19">
        <f t="shared" si="24"/>
        <v>2287.0866141732281</v>
      </c>
      <c r="N36" s="18">
        <f t="shared" si="3"/>
        <v>127.06036745406823</v>
      </c>
      <c r="O36" s="20">
        <f t="shared" si="4"/>
        <v>0</v>
      </c>
      <c r="P36" s="21">
        <f t="shared" si="5"/>
        <v>-6.2729658792651151</v>
      </c>
      <c r="Q36" s="494">
        <f t="shared" si="6"/>
        <v>0.95295275590551165</v>
      </c>
      <c r="R36" s="573"/>
      <c r="S36" s="49">
        <v>0.54444444444444429</v>
      </c>
      <c r="T36" s="49">
        <v>0.63263888888888875</v>
      </c>
      <c r="U36" s="489">
        <f t="shared" si="26"/>
        <v>54.999999999999964</v>
      </c>
      <c r="V36" s="490">
        <f t="shared" si="25"/>
        <v>127.00000000000003</v>
      </c>
      <c r="W36" s="25"/>
      <c r="X36" s="25"/>
      <c r="Y36" s="25"/>
      <c r="Z36" s="25"/>
      <c r="AA36" s="575"/>
      <c r="AB36" s="575"/>
      <c r="AC36" s="50"/>
      <c r="AD36" s="27"/>
      <c r="AE36" s="20">
        <f t="shared" si="8"/>
        <v>-112.9133858267719</v>
      </c>
      <c r="AF36" s="494">
        <f t="shared" si="9"/>
        <v>0.95295275590551176</v>
      </c>
      <c r="AG36" s="573"/>
    </row>
    <row r="37" spans="1:33" ht="15.75" customHeight="1">
      <c r="A37" s="595" t="s">
        <v>55</v>
      </c>
      <c r="B37" s="39" t="s">
        <v>94</v>
      </c>
      <c r="C37" s="594" t="s">
        <v>529</v>
      </c>
      <c r="D37" s="594"/>
      <c r="E37" s="39">
        <v>26.18</v>
      </c>
      <c r="F37" s="492">
        <v>3964</v>
      </c>
      <c r="G37" s="489">
        <f t="shared" si="23"/>
        <v>103777.52</v>
      </c>
      <c r="H37" s="48" t="s">
        <v>126</v>
      </c>
      <c r="I37" s="491">
        <v>18</v>
      </c>
      <c r="J37" s="43">
        <v>2400</v>
      </c>
      <c r="K37" s="18">
        <f t="shared" si="1"/>
        <v>133.33333333333334</v>
      </c>
      <c r="L37" s="491">
        <v>18</v>
      </c>
      <c r="M37" s="19">
        <f t="shared" si="24"/>
        <v>2286.923076923078</v>
      </c>
      <c r="N37" s="18">
        <f t="shared" si="3"/>
        <v>127.05128205128212</v>
      </c>
      <c r="O37" s="20">
        <f t="shared" si="4"/>
        <v>0</v>
      </c>
      <c r="P37" s="21">
        <f t="shared" si="5"/>
        <v>-6.2820512820512278</v>
      </c>
      <c r="Q37" s="494">
        <f t="shared" si="6"/>
        <v>0.95288461538461577</v>
      </c>
      <c r="R37" s="573"/>
      <c r="S37" s="49">
        <v>0.63611111111111096</v>
      </c>
      <c r="T37" s="49">
        <v>0.70833333333333315</v>
      </c>
      <c r="U37" s="489">
        <f t="shared" si="26"/>
        <v>4.9999999999999822</v>
      </c>
      <c r="V37" s="490">
        <f t="shared" si="25"/>
        <v>103.99999999999994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8"/>
        <v>-113.07692307692196</v>
      </c>
      <c r="AF37" s="494">
        <f t="shared" si="9"/>
        <v>0.95288461538461589</v>
      </c>
      <c r="AG37" s="573"/>
    </row>
    <row r="38" spans="1:33" ht="15.75" customHeight="1">
      <c r="A38" s="595" t="s">
        <v>3131</v>
      </c>
      <c r="B38" s="39" t="s">
        <v>94</v>
      </c>
      <c r="C38" s="594" t="s">
        <v>97</v>
      </c>
      <c r="D38" s="594"/>
      <c r="E38" s="39">
        <v>26.37</v>
      </c>
      <c r="F38" s="492">
        <v>3209</v>
      </c>
      <c r="G38" s="489">
        <f t="shared" si="23"/>
        <v>84621.33</v>
      </c>
      <c r="H38" s="48" t="s">
        <v>126</v>
      </c>
      <c r="I38" s="491">
        <v>18</v>
      </c>
      <c r="J38" s="43">
        <v>2400</v>
      </c>
      <c r="K38" s="18">
        <f t="shared" si="1"/>
        <v>133.33333333333334</v>
      </c>
      <c r="L38" s="491">
        <v>18</v>
      </c>
      <c r="M38" s="19">
        <f t="shared" si="24"/>
        <v>2292.1428571428564</v>
      </c>
      <c r="N38" s="18">
        <f t="shared" si="3"/>
        <v>127.34126984126981</v>
      </c>
      <c r="O38" s="20">
        <f t="shared" si="4"/>
        <v>0</v>
      </c>
      <c r="P38" s="21">
        <f t="shared" si="5"/>
        <v>-5.9920634920635365</v>
      </c>
      <c r="Q38" s="494">
        <f t="shared" si="6"/>
        <v>0.95505952380952353</v>
      </c>
      <c r="R38" s="573"/>
      <c r="S38" s="49">
        <v>0.71388888888888868</v>
      </c>
      <c r="T38" s="49">
        <v>0.77222222222222203</v>
      </c>
      <c r="U38" s="489">
        <f t="shared" si="26"/>
        <v>7.9999999999999716</v>
      </c>
      <c r="V38" s="490">
        <f t="shared" si="25"/>
        <v>84.000000000000028</v>
      </c>
      <c r="W38" s="25"/>
      <c r="X38" s="25"/>
      <c r="Y38" s="25"/>
      <c r="Z38" s="25"/>
      <c r="AA38" s="575"/>
      <c r="AB38" s="575"/>
      <c r="AC38" s="50"/>
      <c r="AD38" s="27"/>
      <c r="AE38" s="20">
        <f t="shared" si="8"/>
        <v>-107.85714285714357</v>
      </c>
      <c r="AF38" s="494">
        <f t="shared" si="9"/>
        <v>0.95505952380952353</v>
      </c>
      <c r="AG38" s="573"/>
    </row>
    <row r="39" spans="1:33" ht="15.75" customHeight="1">
      <c r="A39" s="595" t="s">
        <v>3131</v>
      </c>
      <c r="B39" s="39" t="s">
        <v>3132</v>
      </c>
      <c r="C39" s="576"/>
      <c r="D39" s="576"/>
      <c r="E39" s="495"/>
      <c r="F39" s="492"/>
      <c r="G39" s="489"/>
      <c r="H39" s="492"/>
      <c r="I39" s="32">
        <v>17.428571428571427</v>
      </c>
      <c r="J39" s="43">
        <v>2400</v>
      </c>
      <c r="K39" s="18">
        <f t="shared" si="1"/>
        <v>137.70491803278691</v>
      </c>
      <c r="L39" s="32">
        <v>17.428571428571427</v>
      </c>
      <c r="M39" s="19">
        <f>AVERAGE(M32:M38)</f>
        <v>2291.1048740523279</v>
      </c>
      <c r="N39" s="18">
        <f t="shared" si="3"/>
        <v>131.45683703578931</v>
      </c>
      <c r="O39" s="20">
        <f t="shared" si="4"/>
        <v>0</v>
      </c>
      <c r="P39" s="21">
        <f t="shared" si="5"/>
        <v>-6.2480809969976008</v>
      </c>
      <c r="Q39" s="494">
        <f t="shared" si="6"/>
        <v>0.95462703085513645</v>
      </c>
      <c r="R39" s="573"/>
      <c r="S39" s="49"/>
      <c r="T39" s="49"/>
      <c r="U39" s="489"/>
      <c r="V39" s="490"/>
      <c r="W39" s="489"/>
      <c r="X39" s="489"/>
      <c r="Y39" s="33">
        <f>SUM(Y32:Y38)</f>
        <v>0</v>
      </c>
      <c r="Z39" s="33">
        <f>SUM(Z32:Z38)</f>
        <v>0</v>
      </c>
      <c r="AA39" s="572"/>
      <c r="AB39" s="572"/>
      <c r="AC39" s="33">
        <v>7</v>
      </c>
      <c r="AD39" s="33">
        <f>SUM(AD32:AD38)</f>
        <v>0</v>
      </c>
      <c r="AE39" s="20">
        <f t="shared" si="8"/>
        <v>-108.89512594767211</v>
      </c>
      <c r="AF39" s="494">
        <f t="shared" si="9"/>
        <v>0.95462703085513667</v>
      </c>
      <c r="AG39" s="573"/>
    </row>
    <row r="40" spans="1:33" ht="15.75" customHeight="1">
      <c r="A40" s="592" t="s">
        <v>3133</v>
      </c>
      <c r="B40" s="39" t="s">
        <v>94</v>
      </c>
      <c r="C40" s="574" t="s">
        <v>530</v>
      </c>
      <c r="D40" s="574"/>
      <c r="E40" s="39">
        <v>26.18</v>
      </c>
      <c r="F40" s="492">
        <v>4400</v>
      </c>
      <c r="G40" s="489">
        <f t="shared" ref="G40:G47" si="27">E40*F40</f>
        <v>115192</v>
      </c>
      <c r="H40" s="48">
        <v>2</v>
      </c>
      <c r="I40" s="491">
        <v>20</v>
      </c>
      <c r="J40" s="43">
        <v>2400</v>
      </c>
      <c r="K40" s="18">
        <f t="shared" si="1"/>
        <v>120</v>
      </c>
      <c r="L40" s="491">
        <v>20</v>
      </c>
      <c r="M40" s="19">
        <f t="shared" ref="M40:M47" si="28">F40/V40*60</f>
        <v>2295.652173913043</v>
      </c>
      <c r="N40" s="18">
        <f t="shared" si="3"/>
        <v>114.78260869565216</v>
      </c>
      <c r="O40" s="20">
        <f t="shared" si="4"/>
        <v>0</v>
      </c>
      <c r="P40" s="21">
        <f t="shared" si="5"/>
        <v>-5.2173913043478422</v>
      </c>
      <c r="Q40" s="494">
        <f t="shared" si="6"/>
        <v>0.9565217391304347</v>
      </c>
      <c r="R40" s="573">
        <f>Q48</f>
        <v>0.95626093821154701</v>
      </c>
      <c r="S40" s="49">
        <v>8.3333333333333329E-2</v>
      </c>
      <c r="T40" s="49">
        <v>0.16319444444444445</v>
      </c>
      <c r="U40" s="489"/>
      <c r="V40" s="490">
        <f t="shared" ref="V40:V47" si="29">(T40-S40)*24*60</f>
        <v>115.00000000000001</v>
      </c>
      <c r="W40" s="30">
        <f>T40</f>
        <v>0.16319444444444445</v>
      </c>
      <c r="X40" s="30">
        <f>S41</f>
        <v>0.18263888888888888</v>
      </c>
      <c r="Y40" s="30"/>
      <c r="Z40" s="30"/>
      <c r="AA40" s="575"/>
      <c r="AB40" s="575"/>
      <c r="AC40" s="50">
        <v>8</v>
      </c>
      <c r="AD40" s="27"/>
      <c r="AE40" s="20">
        <f t="shared" si="8"/>
        <v>-104.34782608695696</v>
      </c>
      <c r="AF40" s="494">
        <f t="shared" si="9"/>
        <v>0.95652173913043459</v>
      </c>
      <c r="AG40" s="573">
        <f>AF48</f>
        <v>0.95626093821154701</v>
      </c>
    </row>
    <row r="41" spans="1:33" ht="15.75" customHeight="1">
      <c r="A41" s="592" t="s">
        <v>3133</v>
      </c>
      <c r="B41" s="39" t="s">
        <v>94</v>
      </c>
      <c r="C41" s="574" t="s">
        <v>100</v>
      </c>
      <c r="D41" s="574"/>
      <c r="E41" s="39">
        <v>24.43</v>
      </c>
      <c r="F41" s="492">
        <v>4600</v>
      </c>
      <c r="G41" s="489">
        <f t="shared" si="27"/>
        <v>112378</v>
      </c>
      <c r="H41" s="48">
        <v>2</v>
      </c>
      <c r="I41" s="491">
        <v>14</v>
      </c>
      <c r="J41" s="43">
        <v>2400</v>
      </c>
      <c r="K41" s="18">
        <f t="shared" si="1"/>
        <v>171.42857142857142</v>
      </c>
      <c r="L41" s="491">
        <v>14</v>
      </c>
      <c r="M41" s="19">
        <f t="shared" si="28"/>
        <v>2300</v>
      </c>
      <c r="N41" s="18">
        <f t="shared" si="3"/>
        <v>164.28571428571428</v>
      </c>
      <c r="O41" s="20">
        <f t="shared" si="4"/>
        <v>0</v>
      </c>
      <c r="P41" s="21">
        <f t="shared" si="5"/>
        <v>-7.1428571428571388</v>
      </c>
      <c r="Q41" s="494">
        <f t="shared" si="6"/>
        <v>0.95833333333333337</v>
      </c>
      <c r="R41" s="573"/>
      <c r="S41" s="49">
        <v>0.18263888888888888</v>
      </c>
      <c r="T41" s="49">
        <v>0.26597222222222222</v>
      </c>
      <c r="U41" s="489">
        <f t="shared" ref="U41:U47" si="30">(S41-T40)*24*60</f>
        <v>27.999999999999979</v>
      </c>
      <c r="V41" s="490">
        <f t="shared" si="29"/>
        <v>120</v>
      </c>
      <c r="W41" s="489"/>
      <c r="X41" s="489"/>
      <c r="Y41" s="489"/>
      <c r="Z41" s="489"/>
      <c r="AA41" s="575"/>
      <c r="AB41" s="575"/>
      <c r="AC41" s="50"/>
      <c r="AD41" s="27"/>
      <c r="AE41" s="20">
        <f t="shared" si="8"/>
        <v>-100</v>
      </c>
      <c r="AF41" s="494">
        <f t="shared" si="9"/>
        <v>0.95833333333333337</v>
      </c>
      <c r="AG41" s="573"/>
    </row>
    <row r="42" spans="1:33">
      <c r="A42" s="593" t="s">
        <v>3133</v>
      </c>
      <c r="B42" s="39" t="s">
        <v>94</v>
      </c>
      <c r="C42" s="574" t="s">
        <v>102</v>
      </c>
      <c r="D42" s="574"/>
      <c r="E42" s="39">
        <v>34.1</v>
      </c>
      <c r="F42" s="492">
        <v>4400</v>
      </c>
      <c r="G42" s="489">
        <f t="shared" si="27"/>
        <v>150040</v>
      </c>
      <c r="H42" s="48">
        <v>2</v>
      </c>
      <c r="I42" s="491">
        <v>17</v>
      </c>
      <c r="J42" s="43">
        <v>1600</v>
      </c>
      <c r="K42" s="18">
        <f t="shared" si="1"/>
        <v>94.117647058823536</v>
      </c>
      <c r="L42" s="491">
        <v>17</v>
      </c>
      <c r="M42" s="19">
        <f t="shared" si="28"/>
        <v>1526.0115606936415</v>
      </c>
      <c r="N42" s="18">
        <f t="shared" si="3"/>
        <v>89.765385923155378</v>
      </c>
      <c r="O42" s="20">
        <f t="shared" si="4"/>
        <v>0</v>
      </c>
      <c r="P42" s="21">
        <f t="shared" si="5"/>
        <v>-4.352261135668158</v>
      </c>
      <c r="Q42" s="494">
        <f t="shared" si="6"/>
        <v>0.95375722543352581</v>
      </c>
      <c r="R42" s="573"/>
      <c r="S42" s="49">
        <v>0.27083333333333331</v>
      </c>
      <c r="T42" s="49">
        <v>0.39097222222222222</v>
      </c>
      <c r="U42" s="489">
        <f t="shared" si="30"/>
        <v>6.9999999999999751</v>
      </c>
      <c r="V42" s="490">
        <f t="shared" si="29"/>
        <v>173.00000000000003</v>
      </c>
      <c r="W42" s="489"/>
      <c r="X42" s="489"/>
      <c r="Y42" s="489"/>
      <c r="Z42" s="489"/>
      <c r="AA42" s="575"/>
      <c r="AB42" s="575"/>
      <c r="AC42" s="50"/>
      <c r="AD42" s="27"/>
      <c r="AE42" s="20">
        <f t="shared" si="8"/>
        <v>-73.988439306358487</v>
      </c>
      <c r="AF42" s="494">
        <f t="shared" si="9"/>
        <v>0.95375722543352592</v>
      </c>
      <c r="AG42" s="573"/>
    </row>
    <row r="43" spans="1:33">
      <c r="A43" s="593" t="s">
        <v>3133</v>
      </c>
      <c r="B43" s="39" t="s">
        <v>94</v>
      </c>
      <c r="C43" s="574" t="s">
        <v>101</v>
      </c>
      <c r="D43" s="574"/>
      <c r="E43" s="39">
        <v>25.98</v>
      </c>
      <c r="F43" s="492">
        <v>3736</v>
      </c>
      <c r="G43" s="489">
        <f t="shared" si="27"/>
        <v>97061.28</v>
      </c>
      <c r="H43" s="48" t="s">
        <v>126</v>
      </c>
      <c r="I43" s="491">
        <v>19</v>
      </c>
      <c r="J43" s="43">
        <v>2400</v>
      </c>
      <c r="K43" s="18">
        <f t="shared" si="1"/>
        <v>126.31578947368421</v>
      </c>
      <c r="L43" s="491">
        <v>19</v>
      </c>
      <c r="M43" s="19">
        <f t="shared" si="28"/>
        <v>2287.3469387755108</v>
      </c>
      <c r="N43" s="18">
        <f t="shared" si="3"/>
        <v>120.38668098818478</v>
      </c>
      <c r="O43" s="20">
        <f t="shared" si="4"/>
        <v>0</v>
      </c>
      <c r="P43" s="21">
        <f t="shared" si="5"/>
        <v>-5.9291084854994267</v>
      </c>
      <c r="Q43" s="494">
        <f t="shared" si="6"/>
        <v>0.95306122448979624</v>
      </c>
      <c r="R43" s="573"/>
      <c r="S43" s="49">
        <v>0.39444444444444443</v>
      </c>
      <c r="T43" s="49">
        <v>0.46249999999999997</v>
      </c>
      <c r="U43" s="489">
        <f t="shared" si="30"/>
        <v>4.9999999999999822</v>
      </c>
      <c r="V43" s="490">
        <f t="shared" si="29"/>
        <v>97.999999999999972</v>
      </c>
      <c r="W43" s="25"/>
      <c r="X43" s="25"/>
      <c r="Y43" s="25"/>
      <c r="Z43" s="25"/>
      <c r="AA43" s="575"/>
      <c r="AB43" s="575"/>
      <c r="AC43" s="50"/>
      <c r="AD43" s="27"/>
      <c r="AE43" s="20">
        <f t="shared" si="8"/>
        <v>-112.65306122448919</v>
      </c>
      <c r="AF43" s="494">
        <f t="shared" si="9"/>
        <v>0.95306122448979613</v>
      </c>
      <c r="AG43" s="573"/>
    </row>
    <row r="44" spans="1:33">
      <c r="A44" s="593" t="s">
        <v>3133</v>
      </c>
      <c r="B44" s="39" t="s">
        <v>94</v>
      </c>
      <c r="C44" s="574" t="s">
        <v>1231</v>
      </c>
      <c r="D44" s="574"/>
      <c r="E44" s="39">
        <v>25.99</v>
      </c>
      <c r="F44" s="492">
        <v>2200</v>
      </c>
      <c r="G44" s="489">
        <f t="shared" si="27"/>
        <v>57178</v>
      </c>
      <c r="H44" s="48">
        <v>2</v>
      </c>
      <c r="I44" s="491">
        <v>18</v>
      </c>
      <c r="J44" s="43">
        <v>2400</v>
      </c>
      <c r="K44" s="18">
        <f t="shared" si="1"/>
        <v>133.33333333333334</v>
      </c>
      <c r="L44" s="491">
        <v>18</v>
      </c>
      <c r="M44" s="19">
        <f t="shared" si="28"/>
        <v>2315.789473684209</v>
      </c>
      <c r="N44" s="18">
        <f t="shared" si="3"/>
        <v>128.65497076023382</v>
      </c>
      <c r="O44" s="20">
        <f t="shared" si="4"/>
        <v>0</v>
      </c>
      <c r="P44" s="21">
        <f t="shared" si="5"/>
        <v>-4.6783625730995198</v>
      </c>
      <c r="Q44" s="494">
        <f t="shared" si="6"/>
        <v>0.96491228070175361</v>
      </c>
      <c r="R44" s="573"/>
      <c r="S44" s="49">
        <v>0.46666666666666662</v>
      </c>
      <c r="T44" s="49">
        <v>0.50624999999999998</v>
      </c>
      <c r="U44" s="489">
        <f t="shared" si="30"/>
        <v>5.9999999999999787</v>
      </c>
      <c r="V44" s="490">
        <f t="shared" si="29"/>
        <v>57.000000000000036</v>
      </c>
      <c r="W44" s="25">
        <f>T44</f>
        <v>0.50624999999999998</v>
      </c>
      <c r="X44" s="25">
        <f>S45</f>
        <v>0.54722222222222217</v>
      </c>
      <c r="Y44" s="25"/>
      <c r="Z44" s="25"/>
      <c r="AA44" s="575"/>
      <c r="AB44" s="575"/>
      <c r="AC44" s="50"/>
      <c r="AD44" s="27"/>
      <c r="AE44" s="20">
        <f t="shared" si="8"/>
        <v>-84.210526315790958</v>
      </c>
      <c r="AF44" s="494">
        <f t="shared" si="9"/>
        <v>0.96491228070175372</v>
      </c>
      <c r="AG44" s="573"/>
    </row>
    <row r="45" spans="1:33">
      <c r="A45" s="593" t="s">
        <v>3133</v>
      </c>
      <c r="B45" s="39" t="s">
        <v>94</v>
      </c>
      <c r="C45" s="574" t="s">
        <v>530</v>
      </c>
      <c r="D45" s="574"/>
      <c r="E45" s="39">
        <v>26.18</v>
      </c>
      <c r="F45" s="492">
        <v>3234</v>
      </c>
      <c r="G45" s="489">
        <f t="shared" si="27"/>
        <v>84666.12</v>
      </c>
      <c r="H45" s="48" t="s">
        <v>126</v>
      </c>
      <c r="I45" s="491">
        <v>20</v>
      </c>
      <c r="J45" s="43">
        <v>2400</v>
      </c>
      <c r="K45" s="18">
        <f t="shared" si="1"/>
        <v>120</v>
      </c>
      <c r="L45" s="491">
        <v>20</v>
      </c>
      <c r="M45" s="19">
        <f t="shared" si="28"/>
        <v>2282.8235294117644</v>
      </c>
      <c r="N45" s="18">
        <f t="shared" si="3"/>
        <v>114.14117647058822</v>
      </c>
      <c r="O45" s="20">
        <f t="shared" si="4"/>
        <v>0</v>
      </c>
      <c r="P45" s="21">
        <f t="shared" si="5"/>
        <v>-5.8588235294117794</v>
      </c>
      <c r="Q45" s="494">
        <f t="shared" si="6"/>
        <v>0.95117647058823518</v>
      </c>
      <c r="R45" s="573"/>
      <c r="S45" s="49">
        <v>0.54722222222222217</v>
      </c>
      <c r="T45" s="49">
        <v>0.60624999999999996</v>
      </c>
      <c r="U45" s="489">
        <f t="shared" si="30"/>
        <v>58.99999999999995</v>
      </c>
      <c r="V45" s="490">
        <f t="shared" si="29"/>
        <v>85.000000000000014</v>
      </c>
      <c r="W45" s="25"/>
      <c r="X45" s="25"/>
      <c r="Y45" s="25"/>
      <c r="Z45" s="25"/>
      <c r="AA45" s="575"/>
      <c r="AB45" s="575"/>
      <c r="AC45" s="50"/>
      <c r="AD45" s="27"/>
      <c r="AE45" s="20">
        <f t="shared" si="8"/>
        <v>-117.17647058823559</v>
      </c>
      <c r="AF45" s="494">
        <f t="shared" si="9"/>
        <v>0.95117647058823518</v>
      </c>
      <c r="AG45" s="573"/>
    </row>
    <row r="46" spans="1:33">
      <c r="A46" s="593" t="s">
        <v>3133</v>
      </c>
      <c r="B46" s="39" t="s">
        <v>94</v>
      </c>
      <c r="C46" s="574" t="s">
        <v>100</v>
      </c>
      <c r="D46" s="574"/>
      <c r="E46" s="39">
        <v>24.43</v>
      </c>
      <c r="F46" s="492">
        <v>3591</v>
      </c>
      <c r="G46" s="489">
        <f t="shared" si="27"/>
        <v>87728.13</v>
      </c>
      <c r="H46" s="48" t="s">
        <v>126</v>
      </c>
      <c r="I46" s="491">
        <v>14</v>
      </c>
      <c r="J46" s="43">
        <v>2400</v>
      </c>
      <c r="K46" s="18">
        <f t="shared" si="1"/>
        <v>171.42857142857142</v>
      </c>
      <c r="L46" s="491">
        <v>14</v>
      </c>
      <c r="M46" s="19">
        <f t="shared" si="28"/>
        <v>2292.1276595744685</v>
      </c>
      <c r="N46" s="18">
        <f t="shared" si="3"/>
        <v>163.72340425531917</v>
      </c>
      <c r="O46" s="20">
        <f t="shared" si="4"/>
        <v>0</v>
      </c>
      <c r="P46" s="21">
        <f t="shared" si="5"/>
        <v>-7.7051671732522493</v>
      </c>
      <c r="Q46" s="494">
        <f t="shared" si="6"/>
        <v>0.95505319148936185</v>
      </c>
      <c r="R46" s="573"/>
      <c r="S46" s="49">
        <v>0.60972222222222217</v>
      </c>
      <c r="T46" s="49">
        <v>0.67499999999999993</v>
      </c>
      <c r="U46" s="489">
        <f t="shared" si="30"/>
        <v>4.9999999999999822</v>
      </c>
      <c r="V46" s="490">
        <f t="shared" si="29"/>
        <v>93.999999999999986</v>
      </c>
      <c r="W46" s="25"/>
      <c r="X46" s="25"/>
      <c r="Y46" s="28"/>
      <c r="Z46" s="28"/>
      <c r="AA46" s="568"/>
      <c r="AB46" s="569"/>
      <c r="AC46" s="50"/>
      <c r="AD46" s="27"/>
      <c r="AE46" s="20">
        <f t="shared" si="8"/>
        <v>-107.87234042553155</v>
      </c>
      <c r="AF46" s="494">
        <f t="shared" si="9"/>
        <v>0.95505319148936185</v>
      </c>
      <c r="AG46" s="573"/>
    </row>
    <row r="47" spans="1:33">
      <c r="A47" s="593" t="s">
        <v>3133</v>
      </c>
      <c r="B47" s="39" t="s">
        <v>94</v>
      </c>
      <c r="C47" s="574" t="s">
        <v>102</v>
      </c>
      <c r="D47" s="574"/>
      <c r="E47" s="39">
        <v>34.1</v>
      </c>
      <c r="F47" s="492">
        <v>3469</v>
      </c>
      <c r="G47" s="489">
        <f t="shared" si="27"/>
        <v>118292.90000000001</v>
      </c>
      <c r="H47" s="48" t="s">
        <v>126</v>
      </c>
      <c r="I47" s="491">
        <v>17</v>
      </c>
      <c r="J47" s="43">
        <v>1600</v>
      </c>
      <c r="K47" s="18">
        <f t="shared" si="1"/>
        <v>94.117647058823536</v>
      </c>
      <c r="L47" s="491">
        <v>17</v>
      </c>
      <c r="M47" s="19">
        <f t="shared" si="28"/>
        <v>1530.4411764705883</v>
      </c>
      <c r="N47" s="18">
        <f t="shared" si="3"/>
        <v>90.025951557093435</v>
      </c>
      <c r="O47" s="20">
        <f t="shared" si="4"/>
        <v>0</v>
      </c>
      <c r="P47" s="21">
        <f t="shared" si="5"/>
        <v>-4.0916955017301007</v>
      </c>
      <c r="Q47" s="494">
        <f t="shared" si="6"/>
        <v>0.95652573529411766</v>
      </c>
      <c r="R47" s="573"/>
      <c r="S47" s="49">
        <v>0.67916666666666659</v>
      </c>
      <c r="T47" s="49">
        <v>0.77361111111111103</v>
      </c>
      <c r="U47" s="489">
        <f t="shared" si="30"/>
        <v>5.9999999999999787</v>
      </c>
      <c r="V47" s="490">
        <f t="shared" si="29"/>
        <v>136</v>
      </c>
      <c r="W47" s="25"/>
      <c r="X47" s="25"/>
      <c r="Y47" s="28"/>
      <c r="Z47" s="28"/>
      <c r="AA47" s="568"/>
      <c r="AB47" s="569"/>
      <c r="AC47" s="50"/>
      <c r="AD47" s="27"/>
      <c r="AE47" s="20">
        <f t="shared" si="8"/>
        <v>-69.558823529411711</v>
      </c>
      <c r="AF47" s="494">
        <f t="shared" si="9"/>
        <v>0.95652573529411766</v>
      </c>
      <c r="AG47" s="573"/>
    </row>
    <row r="48" spans="1:33">
      <c r="A48" s="593" t="s">
        <v>3133</v>
      </c>
      <c r="B48" s="42" t="s">
        <v>3124</v>
      </c>
      <c r="C48" s="576"/>
      <c r="D48" s="576"/>
      <c r="E48" s="495"/>
      <c r="F48" s="42"/>
      <c r="G48" s="18"/>
      <c r="H48" s="492"/>
      <c r="I48" s="32">
        <v>17.375</v>
      </c>
      <c r="J48" s="43">
        <v>2200</v>
      </c>
      <c r="K48" s="18">
        <f t="shared" si="1"/>
        <v>126.61870503597122</v>
      </c>
      <c r="L48" s="32">
        <v>17.375</v>
      </c>
      <c r="M48" s="19">
        <f>AVERAGE(M40:M47)</f>
        <v>2103.7740640654033</v>
      </c>
      <c r="N48" s="18">
        <f t="shared" si="3"/>
        <v>121.08052167282897</v>
      </c>
      <c r="O48" s="20">
        <f t="shared" si="4"/>
        <v>0</v>
      </c>
      <c r="P48" s="21">
        <f t="shared" si="5"/>
        <v>-5.5381833631422523</v>
      </c>
      <c r="Q48" s="494">
        <f t="shared" si="6"/>
        <v>0.95626093821154701</v>
      </c>
      <c r="R48" s="573"/>
      <c r="S48" s="49"/>
      <c r="T48" s="49"/>
      <c r="U48" s="18"/>
      <c r="V48" s="490"/>
      <c r="W48" s="18"/>
      <c r="X48" s="18"/>
      <c r="Y48" s="33">
        <f>SUM(Y40:Y47)</f>
        <v>0</v>
      </c>
      <c r="Z48" s="33">
        <f>SUM(Z40:Z47)</f>
        <v>0</v>
      </c>
      <c r="AA48" s="572"/>
      <c r="AB48" s="572"/>
      <c r="AC48" s="33">
        <v>8</v>
      </c>
      <c r="AD48" s="33">
        <f>SUM(AD40:AD47)</f>
        <v>0</v>
      </c>
      <c r="AE48" s="20">
        <f t="shared" si="8"/>
        <v>-96.225935934596691</v>
      </c>
      <c r="AF48" s="494">
        <f t="shared" si="9"/>
        <v>0.95626093821154701</v>
      </c>
      <c r="AG48" s="573"/>
    </row>
    <row r="49" spans="1:33" ht="15.75" customHeight="1">
      <c r="A49" s="589" t="s">
        <v>3134</v>
      </c>
      <c r="B49" s="39" t="s">
        <v>104</v>
      </c>
      <c r="C49" s="566" t="s">
        <v>105</v>
      </c>
      <c r="D49" s="567"/>
      <c r="E49" s="39">
        <v>37.880000000000003</v>
      </c>
      <c r="F49" s="492">
        <v>1293</v>
      </c>
      <c r="G49" s="489">
        <f t="shared" ref="G49:G52" si="31">E49*F49</f>
        <v>48978.840000000004</v>
      </c>
      <c r="H49" s="48" t="s">
        <v>126</v>
      </c>
      <c r="I49" s="491">
        <v>13</v>
      </c>
      <c r="J49" s="43">
        <v>2000</v>
      </c>
      <c r="K49" s="18">
        <f t="shared" si="1"/>
        <v>153.84615384615384</v>
      </c>
      <c r="L49" s="491">
        <v>13</v>
      </c>
      <c r="M49" s="19">
        <f t="shared" ref="M49:M52" si="32">F49/V49*60</f>
        <v>1939.5000000000002</v>
      </c>
      <c r="N49" s="19">
        <f t="shared" si="3"/>
        <v>149.19230769230771</v>
      </c>
      <c r="O49" s="20">
        <f t="shared" si="4"/>
        <v>0</v>
      </c>
      <c r="P49" s="21">
        <f t="shared" si="5"/>
        <v>-4.653846153846132</v>
      </c>
      <c r="Q49" s="494">
        <f t="shared" si="6"/>
        <v>0.96975000000000011</v>
      </c>
      <c r="R49" s="584">
        <f>Q53</f>
        <v>0.95585705087453343</v>
      </c>
      <c r="S49" s="49">
        <v>8.3333333333333329E-2</v>
      </c>
      <c r="T49" s="49">
        <v>0.1111111111111111</v>
      </c>
      <c r="U49" s="30"/>
      <c r="V49" s="490">
        <f t="shared" ref="V49:V52" si="33">(T49-S49)*24*60</f>
        <v>40</v>
      </c>
      <c r="W49" s="25">
        <f>T49</f>
        <v>0.1111111111111111</v>
      </c>
      <c r="X49" s="25">
        <f>S50</f>
        <v>0.12986111111111109</v>
      </c>
      <c r="Y49" s="28"/>
      <c r="Z49" s="28"/>
      <c r="AA49" s="568"/>
      <c r="AB49" s="569"/>
      <c r="AC49" s="50">
        <v>4</v>
      </c>
      <c r="AD49" s="27"/>
      <c r="AE49" s="20">
        <f t="shared" si="8"/>
        <v>-60.499999999999773</v>
      </c>
      <c r="AF49" s="494">
        <f t="shared" si="9"/>
        <v>0.96975000000000011</v>
      </c>
      <c r="AG49" s="584">
        <f>AF53</f>
        <v>0.95585705087453343</v>
      </c>
    </row>
    <row r="50" spans="1:33" ht="15.75" customHeight="1">
      <c r="A50" s="590" t="s">
        <v>3134</v>
      </c>
      <c r="B50" s="39" t="s">
        <v>104</v>
      </c>
      <c r="C50" s="566" t="s">
        <v>106</v>
      </c>
      <c r="D50" s="567"/>
      <c r="E50" s="39">
        <v>35.119999999999997</v>
      </c>
      <c r="F50" s="492">
        <v>6423</v>
      </c>
      <c r="G50" s="489">
        <f t="shared" si="31"/>
        <v>225575.75999999998</v>
      </c>
      <c r="H50" s="48" t="s">
        <v>126</v>
      </c>
      <c r="I50" s="491">
        <v>10</v>
      </c>
      <c r="J50" s="43">
        <v>3000</v>
      </c>
      <c r="K50" s="18">
        <f t="shared" si="1"/>
        <v>300</v>
      </c>
      <c r="L50" s="491">
        <v>10</v>
      </c>
      <c r="M50" s="19">
        <f t="shared" si="32"/>
        <v>2854.6666666666665</v>
      </c>
      <c r="N50" s="19">
        <f t="shared" si="3"/>
        <v>285.46666666666664</v>
      </c>
      <c r="O50" s="20">
        <f t="shared" si="4"/>
        <v>0</v>
      </c>
      <c r="P50" s="21">
        <f t="shared" si="5"/>
        <v>-14.53333333333336</v>
      </c>
      <c r="Q50" s="494">
        <f t="shared" si="6"/>
        <v>0.95155555555555549</v>
      </c>
      <c r="R50" s="585"/>
      <c r="S50" s="49">
        <v>0.12986111111111109</v>
      </c>
      <c r="T50" s="49">
        <v>0.22361111111111109</v>
      </c>
      <c r="U50" s="489">
        <f t="shared" ref="U50:U52" si="34">(S50-T49)*24*60</f>
        <v>26.999999999999986</v>
      </c>
      <c r="V50" s="490">
        <f t="shared" si="33"/>
        <v>135</v>
      </c>
      <c r="W50" s="25"/>
      <c r="X50" s="25"/>
      <c r="Y50" s="28"/>
      <c r="Z50" s="28"/>
      <c r="AA50" s="568"/>
      <c r="AB50" s="569"/>
      <c r="AC50" s="50"/>
      <c r="AD50" s="27"/>
      <c r="AE50" s="20">
        <f t="shared" si="8"/>
        <v>-145.33333333333348</v>
      </c>
      <c r="AF50" s="494">
        <f t="shared" si="9"/>
        <v>0.95155555555555549</v>
      </c>
      <c r="AG50" s="585"/>
    </row>
    <row r="51" spans="1:33" ht="15.75" customHeight="1">
      <c r="A51" s="590" t="s">
        <v>3134</v>
      </c>
      <c r="B51" s="39" t="s">
        <v>104</v>
      </c>
      <c r="C51" s="566" t="s">
        <v>107</v>
      </c>
      <c r="D51" s="567"/>
      <c r="E51" s="39">
        <v>21.13</v>
      </c>
      <c r="F51" s="492">
        <v>6297</v>
      </c>
      <c r="G51" s="489">
        <f t="shared" si="31"/>
        <v>133055.60999999999</v>
      </c>
      <c r="H51" s="48" t="s">
        <v>126</v>
      </c>
      <c r="I51" s="491">
        <v>10</v>
      </c>
      <c r="J51" s="43">
        <v>3000</v>
      </c>
      <c r="K51" s="18">
        <f t="shared" si="1"/>
        <v>300</v>
      </c>
      <c r="L51" s="491">
        <v>10</v>
      </c>
      <c r="M51" s="19">
        <f t="shared" si="32"/>
        <v>2862.2727272727284</v>
      </c>
      <c r="N51" s="19">
        <f t="shared" si="3"/>
        <v>286.22727272727286</v>
      </c>
      <c r="O51" s="20">
        <f t="shared" si="4"/>
        <v>0</v>
      </c>
      <c r="P51" s="21">
        <f t="shared" si="5"/>
        <v>-13.772727272727138</v>
      </c>
      <c r="Q51" s="494">
        <f t="shared" si="6"/>
        <v>0.95409090909090954</v>
      </c>
      <c r="R51" s="585"/>
      <c r="S51" s="49">
        <v>0.22916666666666666</v>
      </c>
      <c r="T51" s="49">
        <v>0.3208333333333333</v>
      </c>
      <c r="U51" s="489">
        <f t="shared" si="34"/>
        <v>8.0000000000000107</v>
      </c>
      <c r="V51" s="490">
        <f t="shared" si="33"/>
        <v>131.99999999999994</v>
      </c>
      <c r="W51" s="25"/>
      <c r="X51" s="25"/>
      <c r="Y51" s="28"/>
      <c r="Z51" s="28"/>
      <c r="AA51" s="568"/>
      <c r="AB51" s="569"/>
      <c r="AC51" s="50"/>
      <c r="AD51" s="27"/>
      <c r="AE51" s="20">
        <f t="shared" si="8"/>
        <v>-137.72727272727161</v>
      </c>
      <c r="AF51" s="494">
        <f t="shared" si="9"/>
        <v>0.95409090909090943</v>
      </c>
      <c r="AG51" s="585"/>
    </row>
    <row r="52" spans="1:33" ht="15.75" customHeight="1">
      <c r="A52" s="590" t="s">
        <v>3134</v>
      </c>
      <c r="B52" s="39" t="s">
        <v>104</v>
      </c>
      <c r="C52" s="566" t="s">
        <v>108</v>
      </c>
      <c r="D52" s="567"/>
      <c r="E52" s="39">
        <v>27.17</v>
      </c>
      <c r="F52" s="492">
        <v>8050</v>
      </c>
      <c r="G52" s="489">
        <f t="shared" si="31"/>
        <v>218718.5</v>
      </c>
      <c r="H52" s="48" t="s">
        <v>126</v>
      </c>
      <c r="I52" s="491">
        <v>10</v>
      </c>
      <c r="J52" s="43">
        <v>3000</v>
      </c>
      <c r="K52" s="18">
        <f t="shared" si="1"/>
        <v>300</v>
      </c>
      <c r="L52" s="491">
        <v>10</v>
      </c>
      <c r="M52" s="19">
        <f t="shared" si="32"/>
        <v>2857.9881656804728</v>
      </c>
      <c r="N52" s="19">
        <f t="shared" si="3"/>
        <v>285.7988165680473</v>
      </c>
      <c r="O52" s="20">
        <f t="shared" si="4"/>
        <v>0</v>
      </c>
      <c r="P52" s="21">
        <f t="shared" si="5"/>
        <v>-14.2011834319527</v>
      </c>
      <c r="Q52" s="494">
        <f t="shared" si="6"/>
        <v>0.95266272189349099</v>
      </c>
      <c r="R52" s="585"/>
      <c r="S52" s="49">
        <v>0.32638888888888884</v>
      </c>
      <c r="T52" s="49">
        <v>0.44374999999999998</v>
      </c>
      <c r="U52" s="489">
        <f t="shared" si="34"/>
        <v>7.9999999999999716</v>
      </c>
      <c r="V52" s="490">
        <f t="shared" si="33"/>
        <v>169.00000000000003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-142.01183431952722</v>
      </c>
      <c r="AF52" s="494">
        <f t="shared" si="9"/>
        <v>0.95266272189349088</v>
      </c>
      <c r="AG52" s="585"/>
    </row>
    <row r="53" spans="1:33" ht="15.75" customHeight="1">
      <c r="A53" s="591" t="s">
        <v>3134</v>
      </c>
      <c r="B53" s="39" t="s">
        <v>3124</v>
      </c>
      <c r="C53" s="570"/>
      <c r="D53" s="571"/>
      <c r="E53" s="500"/>
      <c r="F53" s="492"/>
      <c r="G53" s="489"/>
      <c r="H53" s="492"/>
      <c r="I53" s="32">
        <v>10.75</v>
      </c>
      <c r="J53" s="43">
        <v>2750</v>
      </c>
      <c r="K53" s="18">
        <f t="shared" si="1"/>
        <v>255.81395348837211</v>
      </c>
      <c r="L53" s="32">
        <v>10.75</v>
      </c>
      <c r="M53" s="19">
        <f>AVERAGE(M49:M52)</f>
        <v>2628.6068899049669</v>
      </c>
      <c r="N53" s="18">
        <f t="shared" si="3"/>
        <v>244.52157115395042</v>
      </c>
      <c r="O53" s="20">
        <f t="shared" si="4"/>
        <v>0</v>
      </c>
      <c r="P53" s="21">
        <f t="shared" si="5"/>
        <v>-11.292382334421688</v>
      </c>
      <c r="Q53" s="494">
        <f t="shared" si="6"/>
        <v>0.95585705087453343</v>
      </c>
      <c r="R53" s="586"/>
      <c r="S53" s="49"/>
      <c r="T53" s="49"/>
      <c r="U53" s="489"/>
      <c r="V53" s="490"/>
      <c r="W53" s="25"/>
      <c r="X53" s="25"/>
      <c r="Y53" s="33">
        <f>SUM(Y49:Y52)</f>
        <v>0</v>
      </c>
      <c r="Z53" s="33">
        <f>SUM(Z49:Z52)</f>
        <v>0</v>
      </c>
      <c r="AA53" s="587"/>
      <c r="AB53" s="588"/>
      <c r="AC53" s="33">
        <v>4</v>
      </c>
      <c r="AD53" s="33">
        <f>SUM(AD49:AD52)</f>
        <v>0</v>
      </c>
      <c r="AE53" s="20">
        <f t="shared" si="8"/>
        <v>-121.39311009503308</v>
      </c>
      <c r="AF53" s="494">
        <f t="shared" si="9"/>
        <v>0.95585705087453343</v>
      </c>
      <c r="AG53" s="586"/>
    </row>
    <row r="54" spans="1:33" ht="15.75" customHeight="1">
      <c r="A54" s="582" t="s">
        <v>3135</v>
      </c>
      <c r="B54" s="39" t="s">
        <v>79</v>
      </c>
      <c r="C54" s="574" t="s">
        <v>109</v>
      </c>
      <c r="D54" s="574"/>
      <c r="E54" s="39">
        <v>46</v>
      </c>
      <c r="F54" s="45">
        <v>3025</v>
      </c>
      <c r="G54" s="489">
        <f t="shared" ref="G54:G60" si="35">E54*F54</f>
        <v>139150</v>
      </c>
      <c r="H54" s="48" t="s">
        <v>126</v>
      </c>
      <c r="I54" s="491">
        <v>16</v>
      </c>
      <c r="J54" s="43">
        <v>2000</v>
      </c>
      <c r="K54" s="18">
        <f t="shared" si="1"/>
        <v>125</v>
      </c>
      <c r="L54" s="491">
        <v>16</v>
      </c>
      <c r="M54" s="19">
        <f t="shared" ref="M54" si="36">F54/V54*60</f>
        <v>1910.5263157894733</v>
      </c>
      <c r="N54" s="19">
        <f t="shared" si="3"/>
        <v>119.40789473684208</v>
      </c>
      <c r="O54" s="20">
        <f t="shared" si="4"/>
        <v>0</v>
      </c>
      <c r="P54" s="21">
        <f t="shared" si="5"/>
        <v>-5.5921052631579187</v>
      </c>
      <c r="Q54" s="494">
        <f t="shared" si="6"/>
        <v>0.9552631578947367</v>
      </c>
      <c r="R54" s="573">
        <f>Q61</f>
        <v>0.95871087650933107</v>
      </c>
      <c r="S54" s="49">
        <v>0.20833333333333334</v>
      </c>
      <c r="T54" s="49">
        <v>0.27430555555555558</v>
      </c>
      <c r="U54" s="30"/>
      <c r="V54" s="490">
        <f t="shared" ref="V54:V60" si="37">(T54-S54)*24*60</f>
        <v>95.000000000000028</v>
      </c>
      <c r="W54" s="30"/>
      <c r="X54" s="30"/>
      <c r="Y54" s="30"/>
      <c r="Z54" s="30"/>
      <c r="AA54" s="575"/>
      <c r="AB54" s="575"/>
      <c r="AC54" s="50">
        <v>7</v>
      </c>
      <c r="AD54" s="27"/>
      <c r="AE54" s="20">
        <f t="shared" si="8"/>
        <v>-89.473684210526699</v>
      </c>
      <c r="AF54" s="494">
        <f t="shared" si="9"/>
        <v>0.9552631578947367</v>
      </c>
      <c r="AG54" s="573">
        <f>AF61</f>
        <v>0.95871087650933096</v>
      </c>
    </row>
    <row r="55" spans="1:33" ht="15.75" customHeight="1">
      <c r="A55" s="582" t="s">
        <v>3135</v>
      </c>
      <c r="B55" s="39" t="s">
        <v>79</v>
      </c>
      <c r="C55" s="574" t="s">
        <v>1233</v>
      </c>
      <c r="D55" s="574"/>
      <c r="E55" s="39">
        <v>46</v>
      </c>
      <c r="F55" s="45">
        <v>4357</v>
      </c>
      <c r="G55" s="489">
        <f t="shared" si="35"/>
        <v>200422</v>
      </c>
      <c r="H55" s="48" t="s">
        <v>126</v>
      </c>
      <c r="I55" s="491">
        <v>16</v>
      </c>
      <c r="J55" s="43">
        <v>2000</v>
      </c>
      <c r="K55" s="18">
        <f t="shared" si="1"/>
        <v>125</v>
      </c>
      <c r="L55" s="491">
        <v>16</v>
      </c>
      <c r="M55" s="19">
        <f>F55/V55*60</f>
        <v>1908.1751824817518</v>
      </c>
      <c r="N55" s="19">
        <f t="shared" si="3"/>
        <v>119.26094890510949</v>
      </c>
      <c r="O55" s="20">
        <f t="shared" si="4"/>
        <v>0</v>
      </c>
      <c r="P55" s="21">
        <f t="shared" si="5"/>
        <v>-5.7390510948905131</v>
      </c>
      <c r="Q55" s="494">
        <f t="shared" si="6"/>
        <v>0.95408759124087594</v>
      </c>
      <c r="R55" s="573"/>
      <c r="S55" s="49">
        <v>0.27986111111111112</v>
      </c>
      <c r="T55" s="49">
        <v>0.375</v>
      </c>
      <c r="U55" s="489">
        <f t="shared" ref="U55:U60" si="38">IF(S55=TIME(17,0,0),"",(S55-T54)*24*60)</f>
        <v>7.9999999999999716</v>
      </c>
      <c r="V55" s="490">
        <f t="shared" si="37"/>
        <v>137</v>
      </c>
      <c r="W55" s="25"/>
      <c r="X55" s="25"/>
      <c r="Y55" s="25"/>
      <c r="Z55" s="25"/>
      <c r="AA55" s="575"/>
      <c r="AB55" s="575"/>
      <c r="AC55" s="50"/>
      <c r="AD55" s="27"/>
      <c r="AE55" s="20">
        <f t="shared" si="8"/>
        <v>-91.82481751824821</v>
      </c>
      <c r="AF55" s="494">
        <f t="shared" si="9"/>
        <v>0.95408759124087594</v>
      </c>
      <c r="AG55" s="573"/>
    </row>
    <row r="56" spans="1:33" ht="15.75" customHeight="1">
      <c r="A56" s="582" t="s">
        <v>3135</v>
      </c>
      <c r="B56" s="39" t="s">
        <v>74</v>
      </c>
      <c r="C56" s="566" t="s">
        <v>111</v>
      </c>
      <c r="D56" s="567"/>
      <c r="E56" s="39">
        <v>51.75</v>
      </c>
      <c r="F56" s="45">
        <v>999</v>
      </c>
      <c r="G56" s="489">
        <f t="shared" si="35"/>
        <v>51698.25</v>
      </c>
      <c r="H56" s="48" t="s">
        <v>126</v>
      </c>
      <c r="I56" s="491">
        <v>25</v>
      </c>
      <c r="J56" s="43">
        <v>2000</v>
      </c>
      <c r="K56" s="18">
        <f t="shared" si="1"/>
        <v>80</v>
      </c>
      <c r="L56" s="491">
        <v>25</v>
      </c>
      <c r="M56" s="19">
        <f t="shared" ref="M56:M60" si="39">F56/V56*60</f>
        <v>1933.548387096776</v>
      </c>
      <c r="N56" s="19">
        <f t="shared" si="3"/>
        <v>77.34193548387104</v>
      </c>
      <c r="O56" s="20">
        <f t="shared" si="4"/>
        <v>0</v>
      </c>
      <c r="P56" s="21">
        <f t="shared" si="5"/>
        <v>-2.6580645161289596</v>
      </c>
      <c r="Q56" s="494">
        <f t="shared" si="6"/>
        <v>0.96677419354838801</v>
      </c>
      <c r="R56" s="573"/>
      <c r="S56" s="49">
        <v>0.37847222222222221</v>
      </c>
      <c r="T56" s="49">
        <v>0.39999999999999997</v>
      </c>
      <c r="U56" s="489">
        <f t="shared" si="38"/>
        <v>4.9999999999999822</v>
      </c>
      <c r="V56" s="490">
        <f t="shared" si="37"/>
        <v>30.999999999999972</v>
      </c>
      <c r="W56" s="25"/>
      <c r="X56" s="25"/>
      <c r="Y56" s="28"/>
      <c r="Z56" s="28"/>
      <c r="AA56" s="575"/>
      <c r="AB56" s="575"/>
      <c r="AC56" s="50"/>
      <c r="AD56" s="27"/>
      <c r="AE56" s="20">
        <f t="shared" si="8"/>
        <v>-66.451612903224031</v>
      </c>
      <c r="AF56" s="494">
        <f t="shared" si="9"/>
        <v>0.96677419354838801</v>
      </c>
      <c r="AG56" s="573"/>
    </row>
    <row r="57" spans="1:33" ht="15.75" customHeight="1">
      <c r="A57" s="582" t="s">
        <v>3135</v>
      </c>
      <c r="B57" s="39" t="s">
        <v>74</v>
      </c>
      <c r="C57" s="498" t="s">
        <v>110</v>
      </c>
      <c r="D57" s="499"/>
      <c r="E57" s="39">
        <v>56.43</v>
      </c>
      <c r="F57" s="45">
        <v>1707</v>
      </c>
      <c r="G57" s="489">
        <f t="shared" si="35"/>
        <v>96326.01</v>
      </c>
      <c r="H57" s="48" t="s">
        <v>126</v>
      </c>
      <c r="I57" s="491">
        <v>22</v>
      </c>
      <c r="J57" s="43">
        <v>2000</v>
      </c>
      <c r="K57" s="18">
        <f t="shared" si="1"/>
        <v>90.909090909090907</v>
      </c>
      <c r="L57" s="491">
        <v>22</v>
      </c>
      <c r="M57" s="19">
        <f t="shared" si="39"/>
        <v>1932.4528301886801</v>
      </c>
      <c r="N57" s="19">
        <f t="shared" si="3"/>
        <v>87.838765008576374</v>
      </c>
      <c r="O57" s="20">
        <f t="shared" si="4"/>
        <v>0</v>
      </c>
      <c r="P57" s="21">
        <f t="shared" si="5"/>
        <v>-3.0703259005145327</v>
      </c>
      <c r="Q57" s="494">
        <f t="shared" si="6"/>
        <v>0.96622641509434015</v>
      </c>
      <c r="R57" s="573"/>
      <c r="S57" s="49">
        <v>0.40347222222222218</v>
      </c>
      <c r="T57" s="49">
        <v>0.44027777777777771</v>
      </c>
      <c r="U57" s="489">
        <f t="shared" si="38"/>
        <v>4.9999999999999822</v>
      </c>
      <c r="V57" s="490">
        <f t="shared" si="37"/>
        <v>52.999999999999972</v>
      </c>
      <c r="W57" s="25"/>
      <c r="X57" s="25"/>
      <c r="Y57" s="28"/>
      <c r="Z57" s="28"/>
      <c r="AA57" s="575"/>
      <c r="AB57" s="575"/>
      <c r="AC57" s="50"/>
      <c r="AD57" s="27"/>
      <c r="AE57" s="20">
        <f t="shared" si="8"/>
        <v>-67.547169811319918</v>
      </c>
      <c r="AF57" s="494">
        <f t="shared" si="9"/>
        <v>0.96622641509434004</v>
      </c>
      <c r="AG57" s="573"/>
    </row>
    <row r="58" spans="1:33" ht="15.75" customHeight="1">
      <c r="A58" s="582" t="s">
        <v>3135</v>
      </c>
      <c r="B58" s="39" t="s">
        <v>74</v>
      </c>
      <c r="C58" s="498" t="s">
        <v>88</v>
      </c>
      <c r="D58" s="499"/>
      <c r="E58" s="39">
        <v>59.04</v>
      </c>
      <c r="F58" s="45">
        <v>3669</v>
      </c>
      <c r="G58" s="489">
        <f t="shared" si="35"/>
        <v>216617.76</v>
      </c>
      <c r="H58" s="48" t="s">
        <v>126</v>
      </c>
      <c r="I58" s="491">
        <v>19</v>
      </c>
      <c r="J58" s="43">
        <v>2000</v>
      </c>
      <c r="K58" s="18">
        <f t="shared" si="1"/>
        <v>105.26315789473684</v>
      </c>
      <c r="L58" s="491">
        <v>19</v>
      </c>
      <c r="M58" s="19">
        <f t="shared" si="39"/>
        <v>1914.2608695652177</v>
      </c>
      <c r="N58" s="19">
        <f t="shared" si="3"/>
        <v>100.75057208237988</v>
      </c>
      <c r="O58" s="20">
        <f t="shared" si="4"/>
        <v>0</v>
      </c>
      <c r="P58" s="21">
        <f t="shared" si="5"/>
        <v>-4.51258581235696</v>
      </c>
      <c r="Q58" s="494">
        <f t="shared" si="6"/>
        <v>0.95713043478260884</v>
      </c>
      <c r="R58" s="573"/>
      <c r="S58" s="49">
        <v>0.44513888888888881</v>
      </c>
      <c r="T58" s="49">
        <v>0.52499999999999991</v>
      </c>
      <c r="U58" s="489">
        <f t="shared" si="38"/>
        <v>6.9999999999999751</v>
      </c>
      <c r="V58" s="490">
        <f t="shared" si="37"/>
        <v>114.99999999999999</v>
      </c>
      <c r="W58" s="25"/>
      <c r="X58" s="25"/>
      <c r="Y58" s="28"/>
      <c r="Z58" s="28"/>
      <c r="AA58" s="575"/>
      <c r="AB58" s="575"/>
      <c r="AC58" s="50"/>
      <c r="AD58" s="27"/>
      <c r="AE58" s="20">
        <f t="shared" si="8"/>
        <v>-85.739130434782282</v>
      </c>
      <c r="AF58" s="494">
        <f t="shared" si="9"/>
        <v>0.95713043478260884</v>
      </c>
      <c r="AG58" s="573"/>
    </row>
    <row r="59" spans="1:33" ht="15.75" customHeight="1">
      <c r="A59" s="582" t="s">
        <v>3135</v>
      </c>
      <c r="B59" s="39" t="s">
        <v>74</v>
      </c>
      <c r="C59" s="566" t="s">
        <v>113</v>
      </c>
      <c r="D59" s="567"/>
      <c r="E59" s="39">
        <v>55.56</v>
      </c>
      <c r="F59" s="45">
        <v>2507</v>
      </c>
      <c r="G59" s="489">
        <f t="shared" si="35"/>
        <v>139288.92000000001</v>
      </c>
      <c r="H59" s="48" t="s">
        <v>126</v>
      </c>
      <c r="I59" s="491">
        <v>17</v>
      </c>
      <c r="J59" s="43">
        <v>2000</v>
      </c>
      <c r="K59" s="18">
        <f t="shared" si="1"/>
        <v>117.64705882352941</v>
      </c>
      <c r="L59" s="491">
        <v>17</v>
      </c>
      <c r="M59" s="19">
        <f t="shared" si="39"/>
        <v>1904.0506329113914</v>
      </c>
      <c r="N59" s="19">
        <f t="shared" si="3"/>
        <v>112.00297840655243</v>
      </c>
      <c r="O59" s="20">
        <f t="shared" si="4"/>
        <v>0</v>
      </c>
      <c r="P59" s="21">
        <f t="shared" si="5"/>
        <v>-5.6440804169769763</v>
      </c>
      <c r="Q59" s="494">
        <f t="shared" si="6"/>
        <v>0.95202531645569566</v>
      </c>
      <c r="R59" s="573"/>
      <c r="S59" s="49">
        <v>0.70833333333333337</v>
      </c>
      <c r="T59" s="49">
        <v>0.76319444444444451</v>
      </c>
      <c r="U59" s="489" t="str">
        <f t="shared" si="38"/>
        <v/>
      </c>
      <c r="V59" s="490">
        <f t="shared" si="37"/>
        <v>79.000000000000043</v>
      </c>
      <c r="W59" s="25"/>
      <c r="X59" s="25"/>
      <c r="Y59" s="28"/>
      <c r="Z59" s="28"/>
      <c r="AA59" s="568"/>
      <c r="AB59" s="569"/>
      <c r="AC59" s="50"/>
      <c r="AD59" s="27"/>
      <c r="AE59" s="20">
        <f t="shared" si="8"/>
        <v>-95.949367088608597</v>
      </c>
      <c r="AF59" s="494">
        <f t="shared" si="9"/>
        <v>0.95202531645569566</v>
      </c>
      <c r="AG59" s="573"/>
    </row>
    <row r="60" spans="1:33" ht="15.75" customHeight="1">
      <c r="A60" s="582" t="s">
        <v>3135</v>
      </c>
      <c r="B60" s="39" t="s">
        <v>74</v>
      </c>
      <c r="C60" s="566" t="s">
        <v>1826</v>
      </c>
      <c r="D60" s="567"/>
      <c r="E60" s="39">
        <v>51.06</v>
      </c>
      <c r="F60" s="45">
        <v>3614</v>
      </c>
      <c r="G60" s="489">
        <f t="shared" si="35"/>
        <v>184530.84</v>
      </c>
      <c r="H60" s="48" t="s">
        <v>126</v>
      </c>
      <c r="I60" s="491">
        <v>13</v>
      </c>
      <c r="J60" s="43">
        <v>2000</v>
      </c>
      <c r="K60" s="18">
        <f t="shared" si="1"/>
        <v>153.84615384615384</v>
      </c>
      <c r="L60" s="491">
        <v>13</v>
      </c>
      <c r="M60" s="19">
        <f t="shared" si="39"/>
        <v>1918.9380530973435</v>
      </c>
      <c r="N60" s="19">
        <f t="shared" si="3"/>
        <v>147.61061946902643</v>
      </c>
      <c r="O60" s="20">
        <f t="shared" si="4"/>
        <v>0</v>
      </c>
      <c r="P60" s="21">
        <f t="shared" si="5"/>
        <v>-6.2355343771274079</v>
      </c>
      <c r="Q60" s="494">
        <f t="shared" si="6"/>
        <v>0.95946902654867183</v>
      </c>
      <c r="R60" s="573"/>
      <c r="S60" s="49">
        <v>0.76875000000000004</v>
      </c>
      <c r="T60" s="49">
        <v>0.84722222222222232</v>
      </c>
      <c r="U60" s="489">
        <f t="shared" si="38"/>
        <v>7.9999999999999716</v>
      </c>
      <c r="V60" s="490">
        <f t="shared" si="37"/>
        <v>113.00000000000009</v>
      </c>
      <c r="W60" s="25"/>
      <c r="X60" s="25"/>
      <c r="Y60" s="28"/>
      <c r="Z60" s="28"/>
      <c r="AA60" s="568"/>
      <c r="AB60" s="569"/>
      <c r="AC60" s="50"/>
      <c r="AD60" s="27"/>
      <c r="AE60" s="20">
        <f t="shared" si="8"/>
        <v>-81.061946902656473</v>
      </c>
      <c r="AF60" s="494">
        <f t="shared" si="9"/>
        <v>0.95946902654867172</v>
      </c>
      <c r="AG60" s="573"/>
    </row>
    <row r="61" spans="1:33">
      <c r="A61" s="583" t="s">
        <v>3135</v>
      </c>
      <c r="B61" s="39" t="s">
        <v>3124</v>
      </c>
      <c r="C61" s="576"/>
      <c r="D61" s="576"/>
      <c r="E61" s="495"/>
      <c r="F61" s="42"/>
      <c r="G61" s="18"/>
      <c r="H61" s="492"/>
      <c r="I61" s="32">
        <v>18.285714285714285</v>
      </c>
      <c r="J61" s="43">
        <v>2000</v>
      </c>
      <c r="K61" s="18">
        <f t="shared" si="1"/>
        <v>109.375</v>
      </c>
      <c r="L61" s="32">
        <v>18.285714285714285</v>
      </c>
      <c r="M61" s="19">
        <f>AVERAGE(M54:M60)</f>
        <v>1917.421753018662</v>
      </c>
      <c r="N61" s="18">
        <f t="shared" si="3"/>
        <v>104.85900211820808</v>
      </c>
      <c r="O61" s="20">
        <f t="shared" si="4"/>
        <v>0</v>
      </c>
      <c r="P61" s="21">
        <f t="shared" si="5"/>
        <v>-4.5159978817919182</v>
      </c>
      <c r="Q61" s="494">
        <f t="shared" si="6"/>
        <v>0.95871087650933107</v>
      </c>
      <c r="R61" s="573"/>
      <c r="S61" s="49"/>
      <c r="T61" s="49"/>
      <c r="U61" s="489"/>
      <c r="V61" s="490"/>
      <c r="W61" s="18"/>
      <c r="X61" s="18"/>
      <c r="Y61" s="33">
        <f>SUM(Y54:Y60)</f>
        <v>0</v>
      </c>
      <c r="Z61" s="33">
        <f>SUM(Z54:Z60)</f>
        <v>0</v>
      </c>
      <c r="AA61" s="572"/>
      <c r="AB61" s="572"/>
      <c r="AC61" s="33">
        <v>7</v>
      </c>
      <c r="AD61" s="33">
        <f>SUM(AD54:AD60)</f>
        <v>0</v>
      </c>
      <c r="AE61" s="20">
        <f>M61-J61</f>
        <v>-82.578246981337998</v>
      </c>
      <c r="AF61" s="494">
        <f t="shared" si="9"/>
        <v>0.95871087650933096</v>
      </c>
      <c r="AG61" s="573"/>
    </row>
    <row r="62" spans="1:33" ht="15.75" customHeight="1">
      <c r="A62" s="580" t="s">
        <v>3136</v>
      </c>
      <c r="B62" s="492" t="s">
        <v>104</v>
      </c>
      <c r="C62" s="574" t="s">
        <v>115</v>
      </c>
      <c r="D62" s="574"/>
      <c r="E62" s="39">
        <v>34.36</v>
      </c>
      <c r="F62" s="45">
        <v>2605</v>
      </c>
      <c r="G62" s="489">
        <f t="shared" ref="G62:G66" si="40">E62*F62</f>
        <v>89507.8</v>
      </c>
      <c r="H62" s="48" t="s">
        <v>126</v>
      </c>
      <c r="I62" s="491">
        <v>10</v>
      </c>
      <c r="J62" s="43">
        <v>3000</v>
      </c>
      <c r="K62" s="18">
        <f t="shared" si="1"/>
        <v>300</v>
      </c>
      <c r="L62" s="491">
        <v>10</v>
      </c>
      <c r="M62" s="19">
        <f t="shared" ref="M62:M66" si="41">F62/V62*60</f>
        <v>2894.4444444444439</v>
      </c>
      <c r="N62" s="18">
        <f t="shared" si="3"/>
        <v>289.4444444444444</v>
      </c>
      <c r="O62" s="20">
        <f t="shared" si="4"/>
        <v>0</v>
      </c>
      <c r="P62" s="21">
        <f t="shared" si="5"/>
        <v>-10.5555555555556</v>
      </c>
      <c r="Q62" s="494">
        <f t="shared" si="6"/>
        <v>0.96481481481481468</v>
      </c>
      <c r="R62" s="573">
        <f>Q67</f>
        <v>0.95865301603606679</v>
      </c>
      <c r="S62" s="49">
        <v>0.20833333333333334</v>
      </c>
      <c r="T62" s="49">
        <v>0.24583333333333335</v>
      </c>
      <c r="U62" s="489"/>
      <c r="V62" s="490">
        <f t="shared" ref="V62:V66" si="42">(T62-S62)*24*60</f>
        <v>54.000000000000007</v>
      </c>
      <c r="W62" s="30"/>
      <c r="X62" s="30"/>
      <c r="Y62" s="30"/>
      <c r="Z62" s="30"/>
      <c r="AA62" s="575"/>
      <c r="AB62" s="575"/>
      <c r="AC62" s="50">
        <v>5</v>
      </c>
      <c r="AD62" s="27"/>
      <c r="AE62" s="20">
        <f t="shared" ref="AE62:AE76" si="43">M62-J62</f>
        <v>-105.55555555555611</v>
      </c>
      <c r="AF62" s="494">
        <f t="shared" si="9"/>
        <v>0.96481481481481468</v>
      </c>
      <c r="AG62" s="573">
        <f>AF67</f>
        <v>0.95865301603606679</v>
      </c>
    </row>
    <row r="63" spans="1:33" ht="15.75" customHeight="1">
      <c r="A63" s="580" t="s">
        <v>3136</v>
      </c>
      <c r="B63" s="492" t="s">
        <v>104</v>
      </c>
      <c r="C63" s="574" t="s">
        <v>116</v>
      </c>
      <c r="D63" s="574"/>
      <c r="E63" s="39">
        <v>34.36</v>
      </c>
      <c r="F63" s="45">
        <v>1158</v>
      </c>
      <c r="G63" s="489">
        <f t="shared" si="40"/>
        <v>39788.879999999997</v>
      </c>
      <c r="H63" s="48" t="s">
        <v>126</v>
      </c>
      <c r="I63" s="491">
        <v>10</v>
      </c>
      <c r="J63" s="43">
        <v>3000</v>
      </c>
      <c r="K63" s="18">
        <f t="shared" si="1"/>
        <v>300</v>
      </c>
      <c r="L63" s="491">
        <v>10</v>
      </c>
      <c r="M63" s="19">
        <f t="shared" si="41"/>
        <v>2895.0000000000009</v>
      </c>
      <c r="N63" s="18">
        <f t="shared" si="3"/>
        <v>289.50000000000011</v>
      </c>
      <c r="O63" s="20">
        <f t="shared" si="4"/>
        <v>0</v>
      </c>
      <c r="P63" s="21">
        <f t="shared" si="5"/>
        <v>-10.499999999999886</v>
      </c>
      <c r="Q63" s="494">
        <f t="shared" si="6"/>
        <v>0.96500000000000041</v>
      </c>
      <c r="R63" s="573"/>
      <c r="S63" s="49">
        <v>0.25138888888888888</v>
      </c>
      <c r="T63" s="49">
        <v>0.26805555555555555</v>
      </c>
      <c r="U63" s="489">
        <f t="shared" ref="U63:U66" si="44">(S63-T62)*24*60</f>
        <v>7.9999999999999716</v>
      </c>
      <c r="V63" s="490">
        <f t="shared" si="42"/>
        <v>23.999999999999993</v>
      </c>
      <c r="W63" s="489"/>
      <c r="X63" s="489"/>
      <c r="Y63" s="489"/>
      <c r="Z63" s="489"/>
      <c r="AA63" s="575"/>
      <c r="AB63" s="575"/>
      <c r="AC63" s="50"/>
      <c r="AD63" s="27"/>
      <c r="AE63" s="20">
        <f t="shared" si="43"/>
        <v>-104.99999999999909</v>
      </c>
      <c r="AF63" s="494">
        <f t="shared" si="9"/>
        <v>0.9650000000000003</v>
      </c>
      <c r="AG63" s="573"/>
    </row>
    <row r="64" spans="1:33" ht="15.75" customHeight="1">
      <c r="A64" s="580" t="s">
        <v>3136</v>
      </c>
      <c r="B64" s="492" t="s">
        <v>104</v>
      </c>
      <c r="C64" s="574" t="s">
        <v>117</v>
      </c>
      <c r="D64" s="574"/>
      <c r="E64" s="39">
        <v>26.78</v>
      </c>
      <c r="F64" s="45">
        <v>2808</v>
      </c>
      <c r="G64" s="489">
        <f t="shared" si="40"/>
        <v>75198.240000000005</v>
      </c>
      <c r="H64" s="48" t="s">
        <v>126</v>
      </c>
      <c r="I64" s="491">
        <v>10</v>
      </c>
      <c r="J64" s="43">
        <v>3000</v>
      </c>
      <c r="K64" s="18">
        <f t="shared" si="1"/>
        <v>300</v>
      </c>
      <c r="L64" s="491">
        <v>10</v>
      </c>
      <c r="M64" s="19">
        <f t="shared" si="41"/>
        <v>2855.5932203389821</v>
      </c>
      <c r="N64" s="18">
        <f t="shared" si="3"/>
        <v>285.55932203389818</v>
      </c>
      <c r="O64" s="20">
        <f t="shared" si="4"/>
        <v>0</v>
      </c>
      <c r="P64" s="21">
        <f t="shared" si="5"/>
        <v>-14.440677966101816</v>
      </c>
      <c r="Q64" s="494">
        <f t="shared" si="6"/>
        <v>0.95186440677966067</v>
      </c>
      <c r="R64" s="573"/>
      <c r="S64" s="49">
        <v>0.2722222222222222</v>
      </c>
      <c r="T64" s="49">
        <v>0.31319444444444444</v>
      </c>
      <c r="U64" s="489">
        <f t="shared" si="44"/>
        <v>5.9999999999999787</v>
      </c>
      <c r="V64" s="490">
        <f t="shared" si="42"/>
        <v>59.000000000000028</v>
      </c>
      <c r="W64" s="489"/>
      <c r="X64" s="489"/>
      <c r="Y64" s="489"/>
      <c r="Z64" s="489"/>
      <c r="AA64" s="575"/>
      <c r="AB64" s="575"/>
      <c r="AC64" s="50"/>
      <c r="AD64" s="27"/>
      <c r="AE64" s="20">
        <f t="shared" si="43"/>
        <v>-144.40677966101794</v>
      </c>
      <c r="AF64" s="494">
        <f t="shared" si="9"/>
        <v>0.95186440677966067</v>
      </c>
      <c r="AG64" s="573"/>
    </row>
    <row r="65" spans="1:33" ht="15.75" customHeight="1">
      <c r="A65" s="580" t="s">
        <v>3136</v>
      </c>
      <c r="B65" s="492" t="s">
        <v>104</v>
      </c>
      <c r="C65" s="574" t="s">
        <v>119</v>
      </c>
      <c r="D65" s="574"/>
      <c r="E65" s="39">
        <v>35.869999999999997</v>
      </c>
      <c r="F65" s="45">
        <v>4321</v>
      </c>
      <c r="G65" s="489">
        <f t="shared" si="40"/>
        <v>154994.26999999999</v>
      </c>
      <c r="H65" s="48" t="s">
        <v>126</v>
      </c>
      <c r="I65" s="491">
        <v>9</v>
      </c>
      <c r="J65" s="43">
        <v>3000</v>
      </c>
      <c r="K65" s="18">
        <f t="shared" si="1"/>
        <v>333.33333333333331</v>
      </c>
      <c r="L65" s="491">
        <v>9</v>
      </c>
      <c r="M65" s="19">
        <f t="shared" si="41"/>
        <v>2880.666666666667</v>
      </c>
      <c r="N65" s="18">
        <f t="shared" si="3"/>
        <v>320.07407407407413</v>
      </c>
      <c r="O65" s="20">
        <f t="shared" si="4"/>
        <v>0</v>
      </c>
      <c r="P65" s="21">
        <f t="shared" si="5"/>
        <v>-13.259259259259181</v>
      </c>
      <c r="Q65" s="494">
        <f t="shared" si="6"/>
        <v>0.96022222222222242</v>
      </c>
      <c r="R65" s="573"/>
      <c r="S65" s="49">
        <v>0.31805555555555554</v>
      </c>
      <c r="T65" s="49">
        <v>0.38055555555555554</v>
      </c>
      <c r="U65" s="489">
        <f t="shared" si="44"/>
        <v>6.9999999999999751</v>
      </c>
      <c r="V65" s="490">
        <f t="shared" si="42"/>
        <v>90</v>
      </c>
      <c r="W65" s="489"/>
      <c r="X65" s="489"/>
      <c r="Y65" s="489"/>
      <c r="Z65" s="489"/>
      <c r="AA65" s="575"/>
      <c r="AB65" s="575"/>
      <c r="AC65" s="50"/>
      <c r="AD65" s="27"/>
      <c r="AE65" s="20">
        <f t="shared" si="43"/>
        <v>-119.33333333333303</v>
      </c>
      <c r="AF65" s="494">
        <f t="shared" si="9"/>
        <v>0.96022222222222231</v>
      </c>
      <c r="AG65" s="573"/>
    </row>
    <row r="66" spans="1:33">
      <c r="A66" s="581" t="s">
        <v>3136</v>
      </c>
      <c r="B66" s="492" t="s">
        <v>104</v>
      </c>
      <c r="C66" s="574" t="s">
        <v>120</v>
      </c>
      <c r="D66" s="574"/>
      <c r="E66" s="39">
        <v>34.35</v>
      </c>
      <c r="F66" s="45">
        <v>2093</v>
      </c>
      <c r="G66" s="489">
        <f t="shared" si="40"/>
        <v>71894.55</v>
      </c>
      <c r="H66" s="48" t="s">
        <v>126</v>
      </c>
      <c r="I66" s="491">
        <v>8</v>
      </c>
      <c r="J66" s="43">
        <v>3000</v>
      </c>
      <c r="K66" s="18">
        <f t="shared" si="1"/>
        <v>375</v>
      </c>
      <c r="L66" s="491">
        <v>8</v>
      </c>
      <c r="M66" s="19">
        <f t="shared" si="41"/>
        <v>2854.090909090909</v>
      </c>
      <c r="N66" s="18">
        <f t="shared" si="3"/>
        <v>356.76136363636363</v>
      </c>
      <c r="O66" s="20">
        <f t="shared" si="4"/>
        <v>0</v>
      </c>
      <c r="P66" s="21">
        <f t="shared" si="5"/>
        <v>-18.238636363636374</v>
      </c>
      <c r="Q66" s="494">
        <f t="shared" si="6"/>
        <v>0.9513636363636363</v>
      </c>
      <c r="R66" s="573"/>
      <c r="S66" s="49">
        <v>0.38611111111111107</v>
      </c>
      <c r="T66" s="49">
        <v>0.41666666666666663</v>
      </c>
      <c r="U66" s="489">
        <f t="shared" si="44"/>
        <v>7.9999999999999716</v>
      </c>
      <c r="V66" s="490">
        <f t="shared" si="42"/>
        <v>44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-145.90909090909099</v>
      </c>
      <c r="AF66" s="494">
        <f t="shared" si="9"/>
        <v>0.9513636363636363</v>
      </c>
      <c r="AG66" s="573"/>
    </row>
    <row r="67" spans="1:33">
      <c r="A67" s="581" t="s">
        <v>3136</v>
      </c>
      <c r="B67" s="39" t="s">
        <v>3124</v>
      </c>
      <c r="C67" s="576"/>
      <c r="D67" s="576"/>
      <c r="E67" s="495"/>
      <c r="F67" s="42"/>
      <c r="G67" s="18"/>
      <c r="H67" s="492"/>
      <c r="I67" s="32">
        <v>9.4</v>
      </c>
      <c r="J67" s="43">
        <v>3000</v>
      </c>
      <c r="K67" s="18">
        <f t="shared" si="1"/>
        <v>319.14893617021278</v>
      </c>
      <c r="L67" s="32">
        <v>9.4</v>
      </c>
      <c r="M67" s="19">
        <f>AVERAGE(M62:M66)</f>
        <v>2875.9590481082005</v>
      </c>
      <c r="N67" s="18">
        <f t="shared" si="3"/>
        <v>305.95309022427665</v>
      </c>
      <c r="O67" s="20">
        <f t="shared" si="4"/>
        <v>0</v>
      </c>
      <c r="P67" s="21">
        <f t="shared" si="5"/>
        <v>-13.195845945936128</v>
      </c>
      <c r="Q67" s="494">
        <f t="shared" si="6"/>
        <v>0.95865301603606679</v>
      </c>
      <c r="R67" s="573"/>
      <c r="S67" s="49"/>
      <c r="T67" s="49"/>
      <c r="U67" s="18"/>
      <c r="V67" s="490"/>
      <c r="W67" s="18"/>
      <c r="X67" s="18"/>
      <c r="Y67" s="33">
        <f>SUM(Y62:Y66)</f>
        <v>0</v>
      </c>
      <c r="Z67" s="33">
        <f>SUM(Z62:Z66)</f>
        <v>0</v>
      </c>
      <c r="AA67" s="572"/>
      <c r="AB67" s="572"/>
      <c r="AC67" s="33">
        <v>5</v>
      </c>
      <c r="AD67" s="33">
        <f>SUM(AD62:AD66)</f>
        <v>0</v>
      </c>
      <c r="AE67" s="20">
        <f t="shared" si="43"/>
        <v>-124.04095189179952</v>
      </c>
      <c r="AF67" s="494">
        <f t="shared" si="9"/>
        <v>0.95865301603606679</v>
      </c>
      <c r="AG67" s="573"/>
    </row>
    <row r="68" spans="1:33" ht="15.75" customHeight="1">
      <c r="A68" s="577" t="s">
        <v>3137</v>
      </c>
      <c r="B68" s="492" t="s">
        <v>94</v>
      </c>
      <c r="C68" s="574" t="s">
        <v>124</v>
      </c>
      <c r="D68" s="574"/>
      <c r="E68" s="39">
        <v>22.69</v>
      </c>
      <c r="F68" s="492">
        <v>4590</v>
      </c>
      <c r="G68" s="489">
        <f t="shared" ref="G68:G75" si="45">E68*F68</f>
        <v>104147.1</v>
      </c>
      <c r="H68" s="48" t="s">
        <v>126</v>
      </c>
      <c r="I68" s="491">
        <v>15</v>
      </c>
      <c r="J68" s="43">
        <v>2400</v>
      </c>
      <c r="K68" s="18">
        <f t="shared" si="1"/>
        <v>160</v>
      </c>
      <c r="L68" s="491">
        <v>15</v>
      </c>
      <c r="M68" s="19">
        <f t="shared" ref="M68:M75" si="46">F68/V68*60</f>
        <v>2295</v>
      </c>
      <c r="N68" s="18">
        <f t="shared" si="3"/>
        <v>153</v>
      </c>
      <c r="O68" s="20">
        <f t="shared" si="4"/>
        <v>0</v>
      </c>
      <c r="P68" s="21">
        <f t="shared" si="5"/>
        <v>-7</v>
      </c>
      <c r="Q68" s="494">
        <f t="shared" si="6"/>
        <v>0.95625000000000004</v>
      </c>
      <c r="R68" s="573">
        <f>Q76</f>
        <v>0.9581298057492853</v>
      </c>
      <c r="S68" s="49">
        <v>8.3333333333333329E-2</v>
      </c>
      <c r="T68" s="49">
        <v>0.16666666666666666</v>
      </c>
      <c r="U68" s="30"/>
      <c r="V68" s="490">
        <f t="shared" ref="V68:V75" si="47">(T68-S68)*24*60</f>
        <v>120</v>
      </c>
      <c r="W68" s="25">
        <f>T68</f>
        <v>0.16666666666666666</v>
      </c>
      <c r="X68" s="25">
        <f>S69</f>
        <v>0.18611111111111112</v>
      </c>
      <c r="Y68" s="25"/>
      <c r="Z68" s="25"/>
      <c r="AA68" s="575"/>
      <c r="AB68" s="575"/>
      <c r="AC68" s="50">
        <v>8</v>
      </c>
      <c r="AD68" s="27"/>
      <c r="AE68" s="20">
        <f t="shared" si="43"/>
        <v>-105</v>
      </c>
      <c r="AF68" s="494">
        <f t="shared" si="9"/>
        <v>0.95625000000000004</v>
      </c>
      <c r="AG68" s="573">
        <f>AF76</f>
        <v>0.9581298057492853</v>
      </c>
    </row>
    <row r="69" spans="1:33" ht="15.75" customHeight="1">
      <c r="A69" s="578" t="s">
        <v>3137</v>
      </c>
      <c r="B69" s="492" t="s">
        <v>94</v>
      </c>
      <c r="C69" s="574" t="s">
        <v>125</v>
      </c>
      <c r="D69" s="574"/>
      <c r="E69" s="39">
        <v>19.02</v>
      </c>
      <c r="F69" s="492">
        <v>6800</v>
      </c>
      <c r="G69" s="489">
        <f t="shared" si="45"/>
        <v>129336</v>
      </c>
      <c r="H69" s="48">
        <v>2</v>
      </c>
      <c r="I69" s="491">
        <v>14</v>
      </c>
      <c r="J69" s="43">
        <v>2400</v>
      </c>
      <c r="K69" s="18">
        <f t="shared" ref="K69:K89" si="48">J69/I69</f>
        <v>171.42857142857142</v>
      </c>
      <c r="L69" s="491">
        <v>14</v>
      </c>
      <c r="M69" s="19">
        <f t="shared" si="46"/>
        <v>2292.1348314606744</v>
      </c>
      <c r="N69" s="18">
        <f t="shared" ref="N69:N89" si="49">M69/L69</f>
        <v>163.72391653290532</v>
      </c>
      <c r="O69" s="20">
        <f t="shared" ref="O69:O89" si="50">L69-I69</f>
        <v>0</v>
      </c>
      <c r="P69" s="21">
        <f t="shared" ref="P69:P89" si="51">N69-K69</f>
        <v>-7.7046548956660956</v>
      </c>
      <c r="Q69" s="494">
        <f t="shared" ref="Q69:Q89" si="52">N69/K69</f>
        <v>0.95505617977528112</v>
      </c>
      <c r="R69" s="573"/>
      <c r="S69" s="49">
        <v>0.18611111111111112</v>
      </c>
      <c r="T69" s="49">
        <v>0.30972222222222223</v>
      </c>
      <c r="U69" s="489">
        <f t="shared" ref="U69:U75" si="53">(S69-T68)*24*60</f>
        <v>28.000000000000021</v>
      </c>
      <c r="V69" s="490">
        <f t="shared" si="47"/>
        <v>178</v>
      </c>
      <c r="W69" s="25"/>
      <c r="X69" s="25"/>
      <c r="Y69" s="25"/>
      <c r="Z69" s="25"/>
      <c r="AA69" s="575"/>
      <c r="AB69" s="575"/>
      <c r="AC69" s="50"/>
      <c r="AD69" s="27"/>
      <c r="AE69" s="20">
        <f t="shared" si="43"/>
        <v>-107.86516853932562</v>
      </c>
      <c r="AF69" s="494">
        <f t="shared" ref="AF69:AF89" si="54">M69/J69</f>
        <v>0.95505617977528101</v>
      </c>
      <c r="AG69" s="573"/>
    </row>
    <row r="70" spans="1:33" ht="15.75" customHeight="1">
      <c r="A70" s="578" t="s">
        <v>3137</v>
      </c>
      <c r="B70" s="492" t="s">
        <v>94</v>
      </c>
      <c r="C70" s="574" t="s">
        <v>99</v>
      </c>
      <c r="D70" s="574"/>
      <c r="E70" s="39">
        <v>20.36</v>
      </c>
      <c r="F70" s="492">
        <v>3300</v>
      </c>
      <c r="G70" s="489">
        <f t="shared" si="45"/>
        <v>67188</v>
      </c>
      <c r="H70" s="48">
        <v>2</v>
      </c>
      <c r="I70" s="491">
        <v>17</v>
      </c>
      <c r="J70" s="43">
        <v>2400</v>
      </c>
      <c r="K70" s="18">
        <f t="shared" si="48"/>
        <v>141.1764705882353</v>
      </c>
      <c r="L70" s="491">
        <v>17</v>
      </c>
      <c r="M70" s="19">
        <f t="shared" si="46"/>
        <v>2302.3255813953483</v>
      </c>
      <c r="N70" s="18">
        <f t="shared" si="49"/>
        <v>135.43091655266755</v>
      </c>
      <c r="O70" s="20">
        <f t="shared" si="50"/>
        <v>0</v>
      </c>
      <c r="P70" s="21">
        <f t="shared" si="51"/>
        <v>-5.7455540355677499</v>
      </c>
      <c r="Q70" s="494">
        <f t="shared" si="52"/>
        <v>0.95930232558139505</v>
      </c>
      <c r="R70" s="573"/>
      <c r="S70" s="49">
        <v>0.31458333333333333</v>
      </c>
      <c r="T70" s="49">
        <v>0.37430555555555556</v>
      </c>
      <c r="U70" s="489">
        <f t="shared" si="53"/>
        <v>6.9999999999999751</v>
      </c>
      <c r="V70" s="490">
        <f t="shared" si="47"/>
        <v>86.000000000000014</v>
      </c>
      <c r="W70" s="25"/>
      <c r="X70" s="25"/>
      <c r="Y70" s="25"/>
      <c r="Z70" s="25"/>
      <c r="AA70" s="575"/>
      <c r="AB70" s="575"/>
      <c r="AC70" s="50"/>
      <c r="AD70" s="27"/>
      <c r="AE70" s="20">
        <f t="shared" si="43"/>
        <v>-97.674418604651692</v>
      </c>
      <c r="AF70" s="494">
        <f t="shared" si="54"/>
        <v>0.95930232558139517</v>
      </c>
      <c r="AG70" s="573"/>
    </row>
    <row r="71" spans="1:33" ht="15.75" customHeight="1">
      <c r="A71" s="578" t="s">
        <v>3137</v>
      </c>
      <c r="B71" s="492" t="s">
        <v>94</v>
      </c>
      <c r="C71" s="574" t="s">
        <v>1954</v>
      </c>
      <c r="D71" s="574"/>
      <c r="E71" s="39">
        <v>20.21</v>
      </c>
      <c r="F71" s="492">
        <v>3800</v>
      </c>
      <c r="G71" s="489">
        <f t="shared" si="45"/>
        <v>76798</v>
      </c>
      <c r="H71" s="48">
        <v>2</v>
      </c>
      <c r="I71" s="491">
        <v>18</v>
      </c>
      <c r="J71" s="43">
        <v>2400</v>
      </c>
      <c r="K71" s="18">
        <f t="shared" si="48"/>
        <v>133.33333333333334</v>
      </c>
      <c r="L71" s="491">
        <v>18</v>
      </c>
      <c r="M71" s="19">
        <f t="shared" si="46"/>
        <v>2303.0303030303039</v>
      </c>
      <c r="N71" s="18">
        <f t="shared" si="49"/>
        <v>127.946127946128</v>
      </c>
      <c r="O71" s="20">
        <f t="shared" si="50"/>
        <v>0</v>
      </c>
      <c r="P71" s="21">
        <f t="shared" si="51"/>
        <v>-5.3872053872053414</v>
      </c>
      <c r="Q71" s="494">
        <f t="shared" si="52"/>
        <v>0.95959595959595989</v>
      </c>
      <c r="R71" s="573"/>
      <c r="S71" s="49">
        <v>0.37777777777777777</v>
      </c>
      <c r="T71" s="49">
        <v>0.44652777777777775</v>
      </c>
      <c r="U71" s="489">
        <f t="shared" si="53"/>
        <v>4.9999999999999822</v>
      </c>
      <c r="V71" s="490">
        <f t="shared" si="47"/>
        <v>98.999999999999972</v>
      </c>
      <c r="W71" s="25"/>
      <c r="X71" s="25"/>
      <c r="Y71" s="25"/>
      <c r="Z71" s="25"/>
      <c r="AA71" s="575"/>
      <c r="AB71" s="575"/>
      <c r="AC71" s="50"/>
      <c r="AD71" s="27"/>
      <c r="AE71" s="20">
        <f t="shared" si="43"/>
        <v>-96.969696969696088</v>
      </c>
      <c r="AF71" s="494">
        <f t="shared" si="54"/>
        <v>0.95959595959596</v>
      </c>
      <c r="AG71" s="573"/>
    </row>
    <row r="72" spans="1:33" ht="15.75" customHeight="1">
      <c r="A72" s="578" t="s">
        <v>3137</v>
      </c>
      <c r="B72" s="492" t="s">
        <v>94</v>
      </c>
      <c r="C72" s="574" t="s">
        <v>123</v>
      </c>
      <c r="D72" s="574"/>
      <c r="E72" s="39">
        <v>20.21</v>
      </c>
      <c r="F72" s="492">
        <v>3901</v>
      </c>
      <c r="G72" s="489">
        <f t="shared" si="45"/>
        <v>78839.210000000006</v>
      </c>
      <c r="H72" s="48" t="s">
        <v>126</v>
      </c>
      <c r="I72" s="491">
        <v>15</v>
      </c>
      <c r="J72" s="43">
        <v>2400</v>
      </c>
      <c r="K72" s="18">
        <f t="shared" si="48"/>
        <v>160</v>
      </c>
      <c r="L72" s="491">
        <v>15</v>
      </c>
      <c r="M72" s="19">
        <f t="shared" si="46"/>
        <v>2294.7058823529424</v>
      </c>
      <c r="N72" s="18">
        <f t="shared" si="49"/>
        <v>152.98039215686282</v>
      </c>
      <c r="O72" s="20">
        <f t="shared" si="50"/>
        <v>0</v>
      </c>
      <c r="P72" s="21">
        <f t="shared" si="51"/>
        <v>-7.0196078431371802</v>
      </c>
      <c r="Q72" s="494">
        <f t="shared" si="52"/>
        <v>0.95612745098039265</v>
      </c>
      <c r="R72" s="573"/>
      <c r="S72" s="49">
        <v>0.45138888888888884</v>
      </c>
      <c r="T72" s="49">
        <v>0.52222222222222214</v>
      </c>
      <c r="U72" s="489">
        <f t="shared" si="53"/>
        <v>6.9999999999999751</v>
      </c>
      <c r="V72" s="490">
        <f t="shared" si="47"/>
        <v>101.99999999999996</v>
      </c>
      <c r="W72" s="25">
        <f>T72</f>
        <v>0.52222222222222214</v>
      </c>
      <c r="X72" s="25">
        <f>S73</f>
        <v>0.56180555555555545</v>
      </c>
      <c r="Y72" s="25"/>
      <c r="Z72" s="25"/>
      <c r="AA72" s="575"/>
      <c r="AB72" s="575"/>
      <c r="AC72" s="50"/>
      <c r="AD72" s="27"/>
      <c r="AE72" s="20">
        <f t="shared" si="43"/>
        <v>-105.29411764705765</v>
      </c>
      <c r="AF72" s="494">
        <f t="shared" si="54"/>
        <v>0.95612745098039265</v>
      </c>
      <c r="AG72" s="573"/>
    </row>
    <row r="73" spans="1:33" ht="15.75" customHeight="1">
      <c r="A73" s="578" t="s">
        <v>3137</v>
      </c>
      <c r="B73" s="492" t="s">
        <v>94</v>
      </c>
      <c r="C73" s="574" t="s">
        <v>125</v>
      </c>
      <c r="D73" s="574"/>
      <c r="E73" s="39">
        <v>19.02</v>
      </c>
      <c r="F73" s="492">
        <v>5399</v>
      </c>
      <c r="G73" s="489">
        <f t="shared" si="45"/>
        <v>102688.98</v>
      </c>
      <c r="H73" s="48" t="s">
        <v>126</v>
      </c>
      <c r="I73" s="491">
        <v>14</v>
      </c>
      <c r="J73" s="43">
        <v>2400</v>
      </c>
      <c r="K73" s="18">
        <f t="shared" si="48"/>
        <v>171.42857142857142</v>
      </c>
      <c r="L73" s="491">
        <v>14</v>
      </c>
      <c r="M73" s="19">
        <f t="shared" si="46"/>
        <v>2297.4468085106391</v>
      </c>
      <c r="N73" s="18">
        <f t="shared" si="49"/>
        <v>164.10334346504564</v>
      </c>
      <c r="O73" s="20">
        <f t="shared" si="50"/>
        <v>0</v>
      </c>
      <c r="P73" s="21">
        <f t="shared" si="51"/>
        <v>-7.3252279635257764</v>
      </c>
      <c r="Q73" s="494">
        <f t="shared" si="52"/>
        <v>0.95726950354609963</v>
      </c>
      <c r="R73" s="573"/>
      <c r="S73" s="49">
        <v>0.56180555555555545</v>
      </c>
      <c r="T73" s="49">
        <v>0.6597222222222221</v>
      </c>
      <c r="U73" s="489">
        <f t="shared" si="53"/>
        <v>56.999999999999957</v>
      </c>
      <c r="V73" s="490">
        <f t="shared" si="47"/>
        <v>140.99999999999997</v>
      </c>
      <c r="W73" s="25"/>
      <c r="X73" s="25"/>
      <c r="Y73" s="25"/>
      <c r="Z73" s="25"/>
      <c r="AA73" s="575"/>
      <c r="AB73" s="575"/>
      <c r="AC73" s="50"/>
      <c r="AD73" s="27"/>
      <c r="AE73" s="20">
        <f t="shared" si="43"/>
        <v>-102.55319148936087</v>
      </c>
      <c r="AF73" s="494">
        <f t="shared" si="54"/>
        <v>0.95726950354609963</v>
      </c>
      <c r="AG73" s="573"/>
    </row>
    <row r="74" spans="1:33" ht="15.75" customHeight="1">
      <c r="A74" s="578" t="s">
        <v>3137</v>
      </c>
      <c r="B74" s="492" t="s">
        <v>94</v>
      </c>
      <c r="C74" s="566" t="s">
        <v>99</v>
      </c>
      <c r="D74" s="567"/>
      <c r="E74" s="39">
        <v>20.36</v>
      </c>
      <c r="F74" s="492">
        <v>2545</v>
      </c>
      <c r="G74" s="489">
        <f t="shared" si="45"/>
        <v>51816.2</v>
      </c>
      <c r="H74" s="48" t="s">
        <v>126</v>
      </c>
      <c r="I74" s="491">
        <v>17</v>
      </c>
      <c r="J74" s="43">
        <v>2400</v>
      </c>
      <c r="K74" s="18">
        <f t="shared" si="48"/>
        <v>141.1764705882353</v>
      </c>
      <c r="L74" s="491">
        <v>17</v>
      </c>
      <c r="M74" s="19">
        <f t="shared" si="46"/>
        <v>2313.6363636363662</v>
      </c>
      <c r="N74" s="18">
        <f t="shared" si="49"/>
        <v>136.09625668449212</v>
      </c>
      <c r="O74" s="20">
        <f t="shared" si="50"/>
        <v>0</v>
      </c>
      <c r="P74" s="21">
        <f t="shared" si="51"/>
        <v>-5.0802139037431857</v>
      </c>
      <c r="Q74" s="494">
        <f t="shared" si="52"/>
        <v>0.96401515151515249</v>
      </c>
      <c r="R74" s="573"/>
      <c r="S74" s="49">
        <v>0.66319444444444431</v>
      </c>
      <c r="T74" s="49">
        <v>0.70902777777777759</v>
      </c>
      <c r="U74" s="489">
        <f t="shared" si="53"/>
        <v>4.9999999999999822</v>
      </c>
      <c r="V74" s="490">
        <f t="shared" si="47"/>
        <v>65.999999999999929</v>
      </c>
      <c r="W74" s="25"/>
      <c r="X74" s="25"/>
      <c r="Y74" s="28"/>
      <c r="Z74" s="28"/>
      <c r="AA74" s="568"/>
      <c r="AB74" s="569"/>
      <c r="AC74" s="50"/>
      <c r="AD74" s="27"/>
      <c r="AE74" s="20">
        <f t="shared" si="43"/>
        <v>-86.363636363633759</v>
      </c>
      <c r="AF74" s="494">
        <f t="shared" si="54"/>
        <v>0.9640151515151526</v>
      </c>
      <c r="AG74" s="573"/>
    </row>
    <row r="75" spans="1:33" ht="15.75" customHeight="1">
      <c r="A75" s="578" t="s">
        <v>3137</v>
      </c>
      <c r="B75" s="492" t="s">
        <v>94</v>
      </c>
      <c r="C75" s="566" t="s">
        <v>1954</v>
      </c>
      <c r="D75" s="567"/>
      <c r="E75" s="39">
        <v>20.21</v>
      </c>
      <c r="F75" s="492">
        <v>2451</v>
      </c>
      <c r="G75" s="489">
        <f t="shared" si="45"/>
        <v>49534.71</v>
      </c>
      <c r="H75" s="48" t="s">
        <v>126</v>
      </c>
      <c r="I75" s="491">
        <v>18</v>
      </c>
      <c r="J75" s="43">
        <v>2400</v>
      </c>
      <c r="K75" s="18">
        <f t="shared" si="48"/>
        <v>133.33333333333334</v>
      </c>
      <c r="L75" s="491">
        <v>18</v>
      </c>
      <c r="M75" s="19">
        <f t="shared" si="46"/>
        <v>2297.8125000000027</v>
      </c>
      <c r="N75" s="18">
        <f t="shared" si="49"/>
        <v>127.65625000000016</v>
      </c>
      <c r="O75" s="20">
        <f t="shared" si="50"/>
        <v>0</v>
      </c>
      <c r="P75" s="21">
        <f t="shared" si="51"/>
        <v>-5.6770833333331865</v>
      </c>
      <c r="Q75" s="494">
        <f t="shared" si="52"/>
        <v>0.95742187500000109</v>
      </c>
      <c r="R75" s="573"/>
      <c r="S75" s="49">
        <v>0.71388888888888868</v>
      </c>
      <c r="T75" s="49">
        <v>0.75833333333333308</v>
      </c>
      <c r="U75" s="489">
        <f t="shared" si="53"/>
        <v>6.9999999999999751</v>
      </c>
      <c r="V75" s="490">
        <f t="shared" si="47"/>
        <v>63.999999999999929</v>
      </c>
      <c r="W75" s="25"/>
      <c r="X75" s="25"/>
      <c r="Y75" s="28"/>
      <c r="Z75" s="28"/>
      <c r="AA75" s="568"/>
      <c r="AB75" s="569"/>
      <c r="AC75" s="50"/>
      <c r="AD75" s="27"/>
      <c r="AE75" s="20">
        <f t="shared" si="43"/>
        <v>-102.18749999999727</v>
      </c>
      <c r="AF75" s="494">
        <f t="shared" si="54"/>
        <v>0.95742187500000109</v>
      </c>
      <c r="AG75" s="573"/>
    </row>
    <row r="76" spans="1:33" ht="16.5" customHeight="1">
      <c r="A76" s="579" t="s">
        <v>3137</v>
      </c>
      <c r="B76" s="39" t="s">
        <v>3124</v>
      </c>
      <c r="C76" s="570"/>
      <c r="D76" s="571"/>
      <c r="E76" s="495"/>
      <c r="F76" s="42"/>
      <c r="G76" s="18"/>
      <c r="H76" s="492"/>
      <c r="I76" s="32">
        <v>16</v>
      </c>
      <c r="J76" s="43">
        <v>2400</v>
      </c>
      <c r="K76" s="18">
        <f t="shared" si="48"/>
        <v>150</v>
      </c>
      <c r="L76" s="32">
        <v>16</v>
      </c>
      <c r="M76" s="19">
        <f>AVERAGE(M68:M75)</f>
        <v>2299.5115337982847</v>
      </c>
      <c r="N76" s="18">
        <f t="shared" si="49"/>
        <v>143.7194708623928</v>
      </c>
      <c r="O76" s="20">
        <f t="shared" si="50"/>
        <v>0</v>
      </c>
      <c r="P76" s="21">
        <f t="shared" si="51"/>
        <v>-6.2805291376072034</v>
      </c>
      <c r="Q76" s="494">
        <f t="shared" si="52"/>
        <v>0.9581298057492853</v>
      </c>
      <c r="R76" s="573"/>
      <c r="S76" s="49"/>
      <c r="T76" s="49"/>
      <c r="U76" s="18"/>
      <c r="V76" s="490"/>
      <c r="W76" s="18"/>
      <c r="X76" s="18"/>
      <c r="Y76" s="33">
        <f>SUM(Y68:Y75)</f>
        <v>0</v>
      </c>
      <c r="Z76" s="33">
        <f>SUM(Z68:Z75)</f>
        <v>0</v>
      </c>
      <c r="AA76" s="572"/>
      <c r="AB76" s="572"/>
      <c r="AC76" s="33">
        <v>8</v>
      </c>
      <c r="AD76" s="33">
        <f>SUM(AD68:AD75)</f>
        <v>0</v>
      </c>
      <c r="AE76" s="20">
        <f t="shared" si="43"/>
        <v>-100.48846620171526</v>
      </c>
      <c r="AF76" s="494">
        <f t="shared" si="54"/>
        <v>0.9581298057492853</v>
      </c>
      <c r="AG76" s="573"/>
    </row>
    <row r="77" spans="1:33">
      <c r="D77" s="35"/>
      <c r="E77" s="35"/>
    </row>
  </sheetData>
  <mergeCells count="199">
    <mergeCell ref="C74:D74"/>
    <mergeCell ref="AA74:AB74"/>
    <mergeCell ref="C75:D75"/>
    <mergeCell ref="AA75:AB75"/>
    <mergeCell ref="C76:D76"/>
    <mergeCell ref="AA76:AB76"/>
    <mergeCell ref="AG68:AG76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73:D73"/>
    <mergeCell ref="AA65:AB65"/>
    <mergeCell ref="C66:D66"/>
    <mergeCell ref="AA66:AB66"/>
    <mergeCell ref="C67:D67"/>
    <mergeCell ref="AA67:AB67"/>
    <mergeCell ref="A68:A76"/>
    <mergeCell ref="C68:D68"/>
    <mergeCell ref="R68:R76"/>
    <mergeCell ref="AA68:AB68"/>
    <mergeCell ref="AA73:AB73"/>
    <mergeCell ref="A62:A67"/>
    <mergeCell ref="C62:D62"/>
    <mergeCell ref="R62:R67"/>
    <mergeCell ref="AA62:AB62"/>
    <mergeCell ref="AG62:AG67"/>
    <mergeCell ref="C63:D63"/>
    <mergeCell ref="AA63:AB63"/>
    <mergeCell ref="C64:D64"/>
    <mergeCell ref="AA64:AB64"/>
    <mergeCell ref="C65:D65"/>
    <mergeCell ref="AA58:AB58"/>
    <mergeCell ref="C59:D59"/>
    <mergeCell ref="AA59:AB59"/>
    <mergeCell ref="C60:D60"/>
    <mergeCell ref="AA60:AB60"/>
    <mergeCell ref="C61:D61"/>
    <mergeCell ref="AA61:AB61"/>
    <mergeCell ref="A54:A61"/>
    <mergeCell ref="C54:D54"/>
    <mergeCell ref="R54:R61"/>
    <mergeCell ref="AA54:AB54"/>
    <mergeCell ref="AG54:AG61"/>
    <mergeCell ref="C55:D55"/>
    <mergeCell ref="AA55:AB55"/>
    <mergeCell ref="C56:D56"/>
    <mergeCell ref="AA56:AB56"/>
    <mergeCell ref="AA57:AB57"/>
    <mergeCell ref="AG49:AG53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AA47:AB47"/>
    <mergeCell ref="C48:D48"/>
    <mergeCell ref="AA48:AB48"/>
    <mergeCell ref="A49:A53"/>
    <mergeCell ref="C49:D49"/>
    <mergeCell ref="R49:R53"/>
    <mergeCell ref="AA49:AB49"/>
    <mergeCell ref="AG40:AG48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C39:D39"/>
    <mergeCell ref="AA39:AB39"/>
    <mergeCell ref="A40:A48"/>
    <mergeCell ref="C40:D40"/>
    <mergeCell ref="R40:R48"/>
    <mergeCell ref="AA40:AB40"/>
    <mergeCell ref="AA45:AB45"/>
    <mergeCell ref="C46:D46"/>
    <mergeCell ref="AA46:AB46"/>
    <mergeCell ref="C47:D47"/>
    <mergeCell ref="AA35:AB35"/>
    <mergeCell ref="C36:D36"/>
    <mergeCell ref="AA36:AB36"/>
    <mergeCell ref="C37:D37"/>
    <mergeCell ref="AA37:AB37"/>
    <mergeCell ref="C38:D38"/>
    <mergeCell ref="AA38:AB38"/>
    <mergeCell ref="A32:A39"/>
    <mergeCell ref="C32:D32"/>
    <mergeCell ref="R32:R39"/>
    <mergeCell ref="AA32:AB32"/>
    <mergeCell ref="AG32:AG39"/>
    <mergeCell ref="C33:D33"/>
    <mergeCell ref="AA33:AB33"/>
    <mergeCell ref="C34:D34"/>
    <mergeCell ref="AA34:AB34"/>
    <mergeCell ref="C35:D35"/>
    <mergeCell ref="AA28:AB28"/>
    <mergeCell ref="C29:D29"/>
    <mergeCell ref="AA29:AB29"/>
    <mergeCell ref="C30:D30"/>
    <mergeCell ref="AA30:AB30"/>
    <mergeCell ref="C31:D31"/>
    <mergeCell ref="AA31:AB31"/>
    <mergeCell ref="A25:A31"/>
    <mergeCell ref="C25:D25"/>
    <mergeCell ref="R25:R31"/>
    <mergeCell ref="AA25:AB25"/>
    <mergeCell ref="AG25:AG31"/>
    <mergeCell ref="C26:D26"/>
    <mergeCell ref="AA26:AB26"/>
    <mergeCell ref="C27:D27"/>
    <mergeCell ref="AA27:AB27"/>
    <mergeCell ref="C28:D28"/>
    <mergeCell ref="AG16:AG24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4:D24"/>
    <mergeCell ref="AA13:AB13"/>
    <mergeCell ref="C14:D14"/>
    <mergeCell ref="AA14:AB14"/>
    <mergeCell ref="C15:D15"/>
    <mergeCell ref="AA15:AB15"/>
    <mergeCell ref="A16:A24"/>
    <mergeCell ref="C16:D16"/>
    <mergeCell ref="R16:R24"/>
    <mergeCell ref="AA16:AB16"/>
    <mergeCell ref="AA24:AB24"/>
    <mergeCell ref="A10:A15"/>
    <mergeCell ref="C10:D10"/>
    <mergeCell ref="R10:R15"/>
    <mergeCell ref="AA10:AB10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AA1:AB2"/>
    <mergeCell ref="AE1:AG2"/>
  </mergeCells>
  <phoneticPr fontId="3" type="noConversion"/>
  <conditionalFormatting sqref="O65:O73 O61:O62 O76 O5:O10 O15:O17 O24:O59">
    <cfRule type="cellIs" dxfId="68" priority="61" operator="greaterThan">
      <formula>0</formula>
    </cfRule>
  </conditionalFormatting>
  <conditionalFormatting sqref="P5:P8 P65:P66 AE65:AE66 P68:P73 P32:P38 P62 P10 P15:P17 P25:P30 P54:P59 P40:P52 AE5:AE62 AE68:AE76">
    <cfRule type="cellIs" dxfId="67" priority="65" operator="lessThan">
      <formula>0</formula>
    </cfRule>
  </conditionalFormatting>
  <conditionalFormatting sqref="AF65:AF66 Q65:Q73 Q61:Q62 Q76 Q5:Q10 Q15:Q17 Q24:Q59 AF5:AF62 AF68:AF76">
    <cfRule type="cellIs" dxfId="66" priority="62" operator="greaterThan">
      <formula>1</formula>
    </cfRule>
    <cfRule type="cellIs" dxfId="65" priority="63" operator="lessThan">
      <formula>0.8</formula>
    </cfRule>
  </conditionalFormatting>
  <conditionalFormatting sqref="AG16:AG17 R16:R17 AG65 R65:R73 AG61:AG62 R61:R62 R76 AG5:AG10 R5:R10 AG24:AG59 R24:R59">
    <cfRule type="cellIs" dxfId="64" priority="67" operator="lessThan">
      <formula>0.8</formula>
    </cfRule>
  </conditionalFormatting>
  <conditionalFormatting sqref="AG49">
    <cfRule type="cellIs" dxfId="63" priority="69" operator="lessThan">
      <formula>0.8</formula>
    </cfRule>
  </conditionalFormatting>
  <conditionalFormatting sqref="AG25:AG30">
    <cfRule type="cellIs" dxfId="62" priority="66" operator="lessThan">
      <formula>0.8</formula>
    </cfRule>
  </conditionalFormatting>
  <conditionalFormatting sqref="AG32">
    <cfRule type="cellIs" dxfId="61" priority="68" operator="lessThan">
      <formula>0.8</formula>
    </cfRule>
  </conditionalFormatting>
  <conditionalFormatting sqref="AG40:AG47">
    <cfRule type="cellIs" dxfId="60" priority="64" operator="lessThan">
      <formula>0.8</formula>
    </cfRule>
  </conditionalFormatting>
  <conditionalFormatting sqref="AE67">
    <cfRule type="cellIs" dxfId="59" priority="60" operator="lessThan">
      <formula>0</formula>
    </cfRule>
  </conditionalFormatting>
  <conditionalFormatting sqref="AF67">
    <cfRule type="cellIs" dxfId="58" priority="58" operator="greaterThan">
      <formula>1</formula>
    </cfRule>
    <cfRule type="cellIs" dxfId="57" priority="59" operator="lessThan">
      <formula>0.8</formula>
    </cfRule>
  </conditionalFormatting>
  <conditionalFormatting sqref="O18:O19">
    <cfRule type="cellIs" dxfId="56" priority="53" operator="greaterThan">
      <formula>0</formula>
    </cfRule>
  </conditionalFormatting>
  <conditionalFormatting sqref="P18:P19">
    <cfRule type="cellIs" dxfId="55" priority="56" operator="lessThan">
      <formula>0</formula>
    </cfRule>
  </conditionalFormatting>
  <conditionalFormatting sqref="Q18:Q19">
    <cfRule type="cellIs" dxfId="54" priority="54" operator="greaterThan">
      <formula>1</formula>
    </cfRule>
    <cfRule type="cellIs" dxfId="53" priority="55" operator="lessThan">
      <formula>0.8</formula>
    </cfRule>
  </conditionalFormatting>
  <conditionalFormatting sqref="R18:R19 AG18:AG19">
    <cfRule type="cellIs" dxfId="52" priority="57" operator="lessThan">
      <formula>0.8</formula>
    </cfRule>
  </conditionalFormatting>
  <conditionalFormatting sqref="O11:O14">
    <cfRule type="cellIs" dxfId="51" priority="49" operator="greaterThan">
      <formula>0</formula>
    </cfRule>
  </conditionalFormatting>
  <conditionalFormatting sqref="P11:P14">
    <cfRule type="cellIs" dxfId="50" priority="52" operator="lessThan">
      <formula>0</formula>
    </cfRule>
  </conditionalFormatting>
  <conditionalFormatting sqref="Q11:Q14">
    <cfRule type="cellIs" dxfId="49" priority="50" operator="greaterThan">
      <formula>1</formula>
    </cfRule>
    <cfRule type="cellIs" dxfId="48" priority="51" operator="lessThan">
      <formula>0.8</formula>
    </cfRule>
  </conditionalFormatting>
  <conditionalFormatting sqref="O60">
    <cfRule type="cellIs" dxfId="47" priority="44" operator="greaterThan">
      <formula>0</formula>
    </cfRule>
  </conditionalFormatting>
  <conditionalFormatting sqref="P60">
    <cfRule type="cellIs" dxfId="46" priority="47" operator="lessThan">
      <formula>0</formula>
    </cfRule>
  </conditionalFormatting>
  <conditionalFormatting sqref="Q60">
    <cfRule type="cellIs" dxfId="45" priority="45" operator="greaterThan">
      <formula>1</formula>
    </cfRule>
    <cfRule type="cellIs" dxfId="44" priority="46" operator="lessThan">
      <formula>0.8</formula>
    </cfRule>
  </conditionalFormatting>
  <conditionalFormatting sqref="R60 AG60">
    <cfRule type="cellIs" dxfId="43" priority="48" operator="lessThan">
      <formula>0.8</formula>
    </cfRule>
  </conditionalFormatting>
  <conditionalFormatting sqref="O64">
    <cfRule type="cellIs" dxfId="42" priority="39" operator="greaterThan">
      <formula>0</formula>
    </cfRule>
  </conditionalFormatting>
  <conditionalFormatting sqref="P64 AE64">
    <cfRule type="cellIs" dxfId="41" priority="42" operator="lessThan">
      <formula>0</formula>
    </cfRule>
  </conditionalFormatting>
  <conditionalFormatting sqref="Q64 AF64">
    <cfRule type="cellIs" dxfId="40" priority="40" operator="greaterThan">
      <formula>1</formula>
    </cfRule>
    <cfRule type="cellIs" dxfId="39" priority="41" operator="lessThan">
      <formula>0.8</formula>
    </cfRule>
  </conditionalFormatting>
  <conditionalFormatting sqref="R64 AG64">
    <cfRule type="cellIs" dxfId="38" priority="43" operator="lessThan">
      <formula>0.8</formula>
    </cfRule>
  </conditionalFormatting>
  <conditionalFormatting sqref="O74">
    <cfRule type="cellIs" dxfId="37" priority="34" operator="greaterThan">
      <formula>0</formula>
    </cfRule>
  </conditionalFormatting>
  <conditionalFormatting sqref="P74">
    <cfRule type="cellIs" dxfId="36" priority="37" operator="lessThan">
      <formula>0</formula>
    </cfRule>
  </conditionalFormatting>
  <conditionalFormatting sqref="Q74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R74">
    <cfRule type="cellIs" dxfId="33" priority="38" operator="lessThan">
      <formula>0.8</formula>
    </cfRule>
  </conditionalFormatting>
  <conditionalFormatting sqref="O20:O21">
    <cfRule type="cellIs" dxfId="32" priority="29" operator="greaterThan">
      <formula>0</formula>
    </cfRule>
  </conditionalFormatting>
  <conditionalFormatting sqref="P20:P21">
    <cfRule type="cellIs" dxfId="31" priority="32" operator="lessThan">
      <formula>0</formula>
    </cfRule>
  </conditionalFormatting>
  <conditionalFormatting sqref="Q20:Q21">
    <cfRule type="cellIs" dxfId="30" priority="30" operator="greaterThan">
      <formula>1</formula>
    </cfRule>
    <cfRule type="cellIs" dxfId="29" priority="31" operator="lessThan">
      <formula>0.8</formula>
    </cfRule>
  </conditionalFormatting>
  <conditionalFormatting sqref="R20:R21 AG20:AG21">
    <cfRule type="cellIs" dxfId="28" priority="33" operator="lessThan">
      <formula>0.8</formula>
    </cfRule>
  </conditionalFormatting>
  <conditionalFormatting sqref="O63">
    <cfRule type="cellIs" dxfId="27" priority="24" operator="greaterThan">
      <formula>0</formula>
    </cfRule>
  </conditionalFormatting>
  <conditionalFormatting sqref="P63 AE63">
    <cfRule type="cellIs" dxfId="26" priority="27" operator="lessThan">
      <formula>0</formula>
    </cfRule>
  </conditionalFormatting>
  <conditionalFormatting sqref="Q63 AF63">
    <cfRule type="cellIs" dxfId="25" priority="25" operator="greaterThan">
      <formula>1</formula>
    </cfRule>
    <cfRule type="cellIs" dxfId="24" priority="26" operator="lessThan">
      <formula>0.8</formula>
    </cfRule>
  </conditionalFormatting>
  <conditionalFormatting sqref="R63 AG63">
    <cfRule type="cellIs" dxfId="23" priority="28" operator="lessThan">
      <formula>0.8</formula>
    </cfRule>
  </conditionalFormatting>
  <conditionalFormatting sqref="O22">
    <cfRule type="cellIs" dxfId="22" priority="19" operator="greaterThan">
      <formula>0</formula>
    </cfRule>
  </conditionalFormatting>
  <conditionalFormatting sqref="P22">
    <cfRule type="cellIs" dxfId="21" priority="22" operator="lessThan">
      <formula>0</formula>
    </cfRule>
  </conditionalFormatting>
  <conditionalFormatting sqref="Q22">
    <cfRule type="cellIs" dxfId="20" priority="20" operator="greaterThan">
      <formula>1</formula>
    </cfRule>
    <cfRule type="cellIs" dxfId="19" priority="21" operator="lessThan">
      <formula>0.8</formula>
    </cfRule>
  </conditionalFormatting>
  <conditionalFormatting sqref="AG22 R22">
    <cfRule type="cellIs" dxfId="18" priority="23" operator="lessThan">
      <formula>0.8</formula>
    </cfRule>
  </conditionalFormatting>
  <conditionalFormatting sqref="O23">
    <cfRule type="cellIs" dxfId="17" priority="14" operator="greaterThan">
      <formula>0</formula>
    </cfRule>
  </conditionalFormatting>
  <conditionalFormatting sqref="P23">
    <cfRule type="cellIs" dxfId="16" priority="17" operator="lessThan">
      <formula>0</formula>
    </cfRule>
  </conditionalFormatting>
  <conditionalFormatting sqref="Q23">
    <cfRule type="cellIs" dxfId="15" priority="15" operator="greaterThan">
      <formula>1</formula>
    </cfRule>
    <cfRule type="cellIs" dxfId="14" priority="16" operator="lessThan">
      <formula>0.8</formula>
    </cfRule>
  </conditionalFormatting>
  <conditionalFormatting sqref="AG23 R23">
    <cfRule type="cellIs" dxfId="13" priority="18" operator="lessThan">
      <formula>0.8</formula>
    </cfRule>
  </conditionalFormatting>
  <conditionalFormatting sqref="P9">
    <cfRule type="cellIs" dxfId="12" priority="13" operator="lessThan">
      <formula>0</formula>
    </cfRule>
  </conditionalFormatting>
  <conditionalFormatting sqref="P24">
    <cfRule type="cellIs" dxfId="11" priority="12" operator="lessThan">
      <formula>0</formula>
    </cfRule>
  </conditionalFormatting>
  <conditionalFormatting sqref="P31">
    <cfRule type="cellIs" dxfId="10" priority="11" operator="lessThan">
      <formula>0</formula>
    </cfRule>
  </conditionalFormatting>
  <conditionalFormatting sqref="P39">
    <cfRule type="cellIs" dxfId="9" priority="10" operator="lessThan">
      <formula>0</formula>
    </cfRule>
  </conditionalFormatting>
  <conditionalFormatting sqref="P53">
    <cfRule type="cellIs" dxfId="8" priority="9" operator="lessThan">
      <formula>0</formula>
    </cfRule>
  </conditionalFormatting>
  <conditionalFormatting sqref="P61">
    <cfRule type="cellIs" dxfId="7" priority="8" operator="lessThan">
      <formula>0</formula>
    </cfRule>
  </conditionalFormatting>
  <conditionalFormatting sqref="P67">
    <cfRule type="cellIs" dxfId="6" priority="7" operator="lessThan">
      <formula>0</formula>
    </cfRule>
  </conditionalFormatting>
  <conditionalFormatting sqref="P76">
    <cfRule type="cellIs" dxfId="5" priority="6" operator="lessThan">
      <formula>0</formula>
    </cfRule>
  </conditionalFormatting>
  <conditionalFormatting sqref="O75">
    <cfRule type="cellIs" dxfId="4" priority="1" operator="greaterThan">
      <formula>0</formula>
    </cfRule>
  </conditionalFormatting>
  <conditionalFormatting sqref="P75">
    <cfRule type="cellIs" dxfId="3" priority="4" operator="lessThan">
      <formula>0</formula>
    </cfRule>
  </conditionalFormatting>
  <conditionalFormatting sqref="Q75">
    <cfRule type="cellIs" dxfId="2" priority="2" operator="greaterThan">
      <formula>1</formula>
    </cfRule>
    <cfRule type="cellIs" dxfId="1" priority="3" operator="lessThan">
      <formula>0.8</formula>
    </cfRule>
  </conditionalFormatting>
  <conditionalFormatting sqref="R75">
    <cfRule type="cellIs" dxfId="0" priority="5" operator="lessThan">
      <formula>0.8</formula>
    </cfRule>
  </conditionalFormatting>
  <dataValidations count="1">
    <dataValidation type="list" allowBlank="1" showInputMessage="1" showErrorMessage="1" sqref="AB9 AA5:AB8 AB66 AB11:AB62 AA9:AA66 AA67:AB7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B1" sqref="B1:J2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2836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2837</v>
      </c>
      <c r="C3" s="555" t="str">
        <f>TEXT('0530 4度C'!A2,"yyyy.mm.ddaaaa")</f>
        <v>2026.05.30星期六</v>
      </c>
      <c r="D3" s="556"/>
      <c r="E3" s="54" t="s">
        <v>2838</v>
      </c>
      <c r="F3" s="557">
        <f>'0530 4度C'!D1</f>
        <v>156221</v>
      </c>
      <c r="G3" s="558"/>
      <c r="H3" s="54" t="s">
        <v>2839</v>
      </c>
      <c r="I3" s="559">
        <f>'0530 4度C'!F1</f>
        <v>5347544.29</v>
      </c>
      <c r="J3" s="560"/>
      <c r="K3" s="55"/>
      <c r="L3" s="56"/>
      <c r="M3" s="57"/>
      <c r="N3" s="57"/>
    </row>
    <row r="4" spans="2:17" ht="28.5" customHeight="1">
      <c r="B4" s="561" t="s">
        <v>2840</v>
      </c>
      <c r="C4" s="547" t="s">
        <v>2841</v>
      </c>
      <c r="D4" s="548"/>
      <c r="E4" s="564" t="s">
        <v>2842</v>
      </c>
      <c r="F4" s="565"/>
      <c r="G4" s="564" t="s">
        <v>2843</v>
      </c>
      <c r="H4" s="565"/>
      <c r="I4" s="564" t="s">
        <v>2844</v>
      </c>
      <c r="J4" s="565"/>
      <c r="K4" s="545" t="s">
        <v>2845</v>
      </c>
      <c r="L4" s="546"/>
      <c r="M4" s="546" t="s">
        <v>2846</v>
      </c>
      <c r="N4" s="546"/>
    </row>
    <row r="5" spans="2:17" ht="28.5" customHeight="1">
      <c r="B5" s="562"/>
      <c r="C5" s="547" t="s">
        <v>2847</v>
      </c>
      <c r="D5" s="548"/>
      <c r="E5" s="547" t="s">
        <v>2848</v>
      </c>
      <c r="F5" s="548"/>
      <c r="G5" s="549" t="s">
        <v>2849</v>
      </c>
      <c r="H5" s="550"/>
      <c r="I5" s="551" t="s">
        <v>2850</v>
      </c>
      <c r="J5" s="552"/>
      <c r="K5" s="58" t="s">
        <v>2851</v>
      </c>
      <c r="L5" s="59" t="s">
        <v>2852</v>
      </c>
      <c r="M5" s="58" t="s">
        <v>2853</v>
      </c>
      <c r="N5" s="59" t="s">
        <v>2854</v>
      </c>
    </row>
    <row r="6" spans="2:17" ht="28.5" customHeight="1">
      <c r="B6" s="562"/>
      <c r="C6" s="547" t="s">
        <v>145</v>
      </c>
      <c r="D6" s="548"/>
      <c r="E6" s="539">
        <f>AVERAGE(D13:M13)</f>
        <v>153.82203512362778</v>
      </c>
      <c r="F6" s="540">
        <f>AVERAGE(D31:O31,D13:J13)</f>
        <v>160.47430044247429</v>
      </c>
      <c r="G6" s="541">
        <f>AVERAGE(D13:J13)</f>
        <v>160.47430044247429</v>
      </c>
      <c r="H6" s="542"/>
      <c r="I6" s="541">
        <f>AVERAGE(K13:M13)</f>
        <v>138.30008271298595</v>
      </c>
      <c r="J6" s="542"/>
      <c r="K6" s="543">
        <f>'0530 4度C'!Y2</f>
        <v>0</v>
      </c>
      <c r="L6" s="528">
        <f>'0530 4度C'!Z2</f>
        <v>0</v>
      </c>
      <c r="M6" s="544">
        <f>'0530 4度C'!AC2</f>
        <v>53</v>
      </c>
      <c r="N6" s="528">
        <f>'0530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147.5531808482497</v>
      </c>
      <c r="F7" s="532">
        <f>AVERAGE(D32:O32,D14:J14)</f>
        <v>154.13763510205436</v>
      </c>
      <c r="G7" s="533">
        <f>AVERAGE(D14:J14)</f>
        <v>154.13763510205436</v>
      </c>
      <c r="H7" s="534"/>
      <c r="I7" s="533">
        <f>AVERAGE(K14:M14)</f>
        <v>132.18945425603886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0.95844857201317679</v>
      </c>
      <c r="F8" s="536">
        <f>AVERAGE(D15:J15,D33:O33)</f>
        <v>0.95959110158754712</v>
      </c>
      <c r="G8" s="537">
        <f>AVERAGE(D15:J15)</f>
        <v>0.95959110158754712</v>
      </c>
      <c r="H8" s="538"/>
      <c r="I8" s="537">
        <f>AVERAGE(K15:M15)</f>
        <v>0.95578266967297976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2855</v>
      </c>
      <c r="N9" s="57"/>
      <c r="O9" s="57"/>
      <c r="P9" s="57"/>
      <c r="Q9" s="57"/>
    </row>
    <row r="10" spans="2:17" ht="30" customHeight="1">
      <c r="B10" s="511" t="s">
        <v>2856</v>
      </c>
      <c r="C10" s="512"/>
      <c r="D10" s="513" t="s">
        <v>2857</v>
      </c>
      <c r="E10" s="514"/>
      <c r="F10" s="514"/>
      <c r="G10" s="514"/>
      <c r="H10" s="514"/>
      <c r="I10" s="514"/>
      <c r="J10" s="515"/>
      <c r="K10" s="516" t="s">
        <v>2858</v>
      </c>
      <c r="L10" s="517"/>
      <c r="M10" s="518"/>
      <c r="P10" s="63"/>
      <c r="Q10" s="63"/>
    </row>
    <row r="11" spans="2:17" ht="17.25" customHeight="1">
      <c r="B11" s="519" t="s">
        <v>2859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2860</v>
      </c>
      <c r="C13" s="70" t="s">
        <v>2861</v>
      </c>
      <c r="D13" s="71">
        <f>SUMIFS('0530 4度C'!$K:$K,'0530 4度C'!$A:$A,"新豐6線",'0530 4度C'!$B:$B,"平均")</f>
        <v>130.43478260869566</v>
      </c>
      <c r="E13" s="72">
        <f>SUMIFS('0530 4度C'!$K:$K,'0530 4度C'!$A:$A,"新豐2線",'0530 4度C'!$B:$B,"平均")</f>
        <v>86.956521739130437</v>
      </c>
      <c r="F13" s="73">
        <f>SUMIFS('0530 4度C'!$K:$K,'0530 4度C'!$A:$A,"新豐5線",'0530 4度C'!$B:$B,"平均")</f>
        <v>96.590909090909079</v>
      </c>
      <c r="G13" s="73">
        <f>SUMIFS('0530 4度C'!$K:$K,'0530 4度C'!$A:$A,"新豐7線",'0530 4度C'!$B:$B,"平均")</f>
        <v>125</v>
      </c>
      <c r="H13" s="73">
        <f>SUMIFS('0530 4度C'!$K:$K,'0530 4度C'!$A:$A,"新豐3線",'0530 4度C'!$B:$B,"平均")</f>
        <v>255.81395348837211</v>
      </c>
      <c r="I13" s="73">
        <f>SUMIFS('0530 4度C'!$K:$K,'0530 4度C'!$A:$A,"新豐1線",'0530 4度C'!$B:$B,"平均")</f>
        <v>109.375</v>
      </c>
      <c r="J13" s="74">
        <f>SUMIFS('0530 4度C'!$K:$K,'0530 4度C'!$A:$A,"新豐10線",'0530 4度C'!$B:$B,"平均")</f>
        <v>319.14893617021278</v>
      </c>
      <c r="K13" s="75">
        <f>SUMIFS('0530 4度C'!$K:$K,'0530 4度C'!$A:$A,"新豐8線",'0530 4度C'!$B:$B,"平均")</f>
        <v>138.46153846153848</v>
      </c>
      <c r="L13" s="76">
        <f>SUMIFS('0530 4度C'!$K:$K,'0530 4度C'!$A:$A,"新豐9線",'0530 4度C'!$B:$B,"平均")</f>
        <v>121.60000000000001</v>
      </c>
      <c r="M13" s="74">
        <f>SUMIFS('0530 4度C'!$K:$K,'0530 4度C'!$A:$A,"新豐4線",'0530 4度C'!$B:$B,"平均")</f>
        <v>154.83870967741936</v>
      </c>
    </row>
    <row r="14" spans="2:17" ht="39.6" customHeight="1">
      <c r="B14" s="524"/>
      <c r="C14" s="77" t="s">
        <v>2862</v>
      </c>
      <c r="D14" s="78">
        <f>SUMIFS('0530 4度C'!$N:$N,'0530 4度C'!$A:$A,"新豐6線",'0530 4度C'!$B:$B,"平均")</f>
        <v>125.23126519038617</v>
      </c>
      <c r="E14" s="79">
        <f>SUMIFS('0530 4度C'!$N:$N,'0530 4度C'!$A:$A,"新豐2線",'0530 4度C'!$B:$B,"平均")</f>
        <v>82.925480295038085</v>
      </c>
      <c r="F14" s="79">
        <f>SUMIFS('0530 4度C'!$N:$N,'0530 4度C'!$A:$A,"新豐5線",'0530 4度C'!$B:$B,"平均")</f>
        <v>92.985622581090198</v>
      </c>
      <c r="G14" s="79">
        <f>SUMIFS('0530 4度C'!$N:$N,'0530 4度C'!$A:$A,"新豐7線",'0530 4度C'!$B:$B,"平均")</f>
        <v>120.02295474715856</v>
      </c>
      <c r="H14" s="79">
        <f>SUMIFS('0530 4度C'!$N:$N,'0530 4度C'!$A:$A,"新豐3線",'0530 4度C'!$B:$B,"平均")</f>
        <v>244.18133095880111</v>
      </c>
      <c r="I14" s="79">
        <f>SUMIFS('0530 4度C'!$N:$N,'0530 4度C'!$A:$A,"新豐1線",'0530 4度C'!$B:$B,"平均")</f>
        <v>104.83421315451206</v>
      </c>
      <c r="J14" s="80">
        <f>SUMIFS('0530 4度C'!$N:$N,'0530 4度C'!$A:$A,"新豐10線",'0530 4度C'!$B:$B,"平均")</f>
        <v>308.78257878739413</v>
      </c>
      <c r="K14" s="81">
        <f>SUMIFS('0530 4度C'!$N:$N,'0530 4度C'!$A:$A,"新豐8線",'0530 4度C'!$B:$B,"平均")</f>
        <v>132.54319681316937</v>
      </c>
      <c r="L14" s="82">
        <f>SUMIFS('0530 4度C'!$N:$N,'0530 4度C'!$A:$A,"新豐9線",'0530 4度C'!$B:$B,"平均")</f>
        <v>116.08403752042933</v>
      </c>
      <c r="M14" s="80">
        <f>SUMIFS('0530 4度C'!$N:$N,'0530 4度C'!$A:$A,"新豐4線",'0530 4度C'!$B:$B,"平均")</f>
        <v>147.94112843451785</v>
      </c>
    </row>
    <row r="15" spans="2:17" ht="40.15" customHeight="1">
      <c r="B15" s="525"/>
      <c r="C15" s="83" t="s">
        <v>2863</v>
      </c>
      <c r="D15" s="84">
        <f t="shared" ref="D15:M15" si="0">D14/D13</f>
        <v>0.96010636645962721</v>
      </c>
      <c r="E15" s="85">
        <f t="shared" si="0"/>
        <v>0.95364302339293794</v>
      </c>
      <c r="F15" s="85">
        <f t="shared" si="0"/>
        <v>0.96267468083952212</v>
      </c>
      <c r="G15" s="85">
        <f t="shared" si="0"/>
        <v>0.96018363797726847</v>
      </c>
      <c r="H15" s="85">
        <f t="shared" si="0"/>
        <v>0.95452702102076792</v>
      </c>
      <c r="I15" s="85">
        <f t="shared" si="0"/>
        <v>0.95848423455553877</v>
      </c>
      <c r="J15" s="86">
        <f t="shared" si="0"/>
        <v>0.96751874686716821</v>
      </c>
      <c r="K15" s="84">
        <f t="shared" si="0"/>
        <v>0.95725642142844536</v>
      </c>
      <c r="L15" s="85">
        <f t="shared" si="0"/>
        <v>0.95463846645089911</v>
      </c>
      <c r="M15" s="86">
        <f t="shared" si="0"/>
        <v>0.95545312113959446</v>
      </c>
    </row>
    <row r="16" spans="2:17" ht="17.25" customHeight="1">
      <c r="B16" s="526" t="s">
        <v>2864</v>
      </c>
      <c r="C16" s="87" t="s">
        <v>2865</v>
      </c>
      <c r="D16" s="88">
        <f>VLOOKUP("新豐6線",'0530 4度C'!$A:$T,19,0)</f>
        <v>0.70833333333333337</v>
      </c>
      <c r="E16" s="89">
        <f>VLOOKUP("新豐2線",'0530 4度C'!$A:$T,19,0)</f>
        <v>8.3333333333333329E-2</v>
      </c>
      <c r="F16" s="89">
        <f>VLOOKUP("新豐5線",'0530 4度C'!$A:$T,19,0)</f>
        <v>0.20833333333333334</v>
      </c>
      <c r="G16" s="89">
        <f>VLOOKUP("新豐7線",'0530 4度C'!$A:$T,19,0)</f>
        <v>0.20833333333333334</v>
      </c>
      <c r="H16" s="89">
        <f>VLOOKUP("新豐3線",'0530 4度C'!$A:$T,19,0)</f>
        <v>8.3333333333333329E-2</v>
      </c>
      <c r="I16" s="89">
        <f>VLOOKUP("新豐1線",'0530 4度C'!$A:$T,19,0)</f>
        <v>0.20833333333333334</v>
      </c>
      <c r="J16" s="90">
        <f>VLOOKUP("新豐10線",'0530 4度C'!$A:$T,19,0)</f>
        <v>0.20833333333333334</v>
      </c>
      <c r="K16" s="91">
        <f>VLOOKUP("新豐8線",'0530 4度C'!$A:$T,19,0)</f>
        <v>8.3333333333333329E-2</v>
      </c>
      <c r="L16" s="92">
        <f>VLOOKUP("新豐9線",'0530 4度C'!$A:$T,19,0)</f>
        <v>8.3333333333333329E-2</v>
      </c>
      <c r="M16" s="93">
        <f>VLOOKUP("新豐4線",'0530 4度C'!$A:$T,19,0)</f>
        <v>8.3333333333333329E-2</v>
      </c>
    </row>
    <row r="17" spans="2:13" ht="17.25" customHeight="1">
      <c r="B17" s="527"/>
      <c r="C17" s="87" t="s">
        <v>2866</v>
      </c>
      <c r="D17" s="91">
        <f>LOOKUP(2,1/(('0530 4度C'!$A:$A="新豐6線")*('0530 4度C'!$T:$T&lt;&gt;"")),'0530 4度C'!$T:$T)</f>
        <v>0.84236111111111112</v>
      </c>
      <c r="E17" s="89">
        <f>LOOKUP(2,1/(('0530 4度C'!$A:$A="新豐2線")*('0530 4度C'!$T:$T&lt;&gt;"")),'0530 4度C'!$T:$T)</f>
        <v>0.61458333333333326</v>
      </c>
      <c r="F17" s="89">
        <f>LOOKUP(2,1/(('0530 4度C'!$A:$A="新豐5線")*('0530 4度C'!$T:$T&lt;&gt;"")),'0530 4度C'!$T:$T)</f>
        <v>0.81041666666666667</v>
      </c>
      <c r="G17" s="89">
        <f>LOOKUP(2,1/(('0530 4度C'!$A:$A="新豐7線")*('0530 4度C'!$T:$T&lt;&gt;"")),'0530 4度C'!$T:$T)</f>
        <v>0.77986111111111112</v>
      </c>
      <c r="H17" s="89">
        <f>LOOKUP(2,1/(('0530 4度C'!$A:$A="新豐3線")*('0530 4度C'!$T:$T&lt;&gt;"")),'0530 4度C'!$T:$T)</f>
        <v>0.37152777777777779</v>
      </c>
      <c r="I17" s="89">
        <f>LOOKUP(2,1/(('0530 4度C'!$A:$A="新豐1線")*('0530 4度C'!$T:$T&lt;&gt;"")),'0530 4度C'!$T:$T)</f>
        <v>0.83611111111111125</v>
      </c>
      <c r="J17" s="90">
        <f>LOOKUP(2,1/(('0530 4度C'!$A:$A="新豐10線")*('0530 4度C'!$T:$T&lt;&gt;"")),'0530 4度C'!$T:$T)</f>
        <v>0.38611111111111102</v>
      </c>
      <c r="K17" s="88">
        <f>LOOKUP(2,1/(('0530 4度C'!$A:$A="新豐8線")*('0530 4度C'!$T:$T&lt;&gt;"")),'0530 4度C'!$T:$T)</f>
        <v>0.61041666666666661</v>
      </c>
      <c r="L17" s="89">
        <f>LOOKUP(2,1/(('0530 4度C'!$A:$A="新豐9線")*('0530 4度C'!$T:$T&lt;&gt;"")),'0530 4度C'!$T:$T)</f>
        <v>0.63333333333333319</v>
      </c>
      <c r="M17" s="90">
        <f>LOOKUP(2,1/(('0530 4度C'!$A:$A="新豐4線")*('0530 4度C'!$T:$T&lt;&gt;"")),'0530 4度C'!$T:$T)</f>
        <v>0.59513888888888877</v>
      </c>
    </row>
    <row r="18" spans="2:13" ht="17.25" customHeight="1">
      <c r="B18" s="505" t="s">
        <v>2867</v>
      </c>
      <c r="C18" s="94" t="s">
        <v>2868</v>
      </c>
      <c r="D18" s="95">
        <f>SUMIFS('0530 4度C'!$Y:$Y,'0530 4度C'!$A:$A,"新豐6線",'0530 4度C'!$B:$B,"平均")</f>
        <v>0</v>
      </c>
      <c r="E18" s="96">
        <f>SUMIFS('0530 4度C'!$Y:$Y,'0530 4度C'!$A:$A,"新豐2線",'0530 4度C'!$B:$B,"平均")</f>
        <v>0</v>
      </c>
      <c r="F18" s="96">
        <f>SUMIFS('0530 4度C'!$Y:$Y,'0530 4度C'!$A:$A,"新豐5線",'0530 4度C'!$B:$B,"平均")</f>
        <v>0</v>
      </c>
      <c r="G18" s="96">
        <f>SUMIFS('0530 4度C'!$Y:$Y,'0530 4度C'!$A:$A,"新豐7線",'0530 4度C'!$B:$B,"平均")</f>
        <v>0</v>
      </c>
      <c r="H18" s="96">
        <f>SUMIFS('0530 4度C'!$Y:$Y,'0530 4度C'!$A:$A,"新豐3線",'0530 4度C'!$B:$B,"平均")</f>
        <v>0</v>
      </c>
      <c r="I18" s="96">
        <f>SUMIFS('0530 4度C'!$Y:$Y,'0530 4度C'!$A:$A,"新豐1線",'0530 4度C'!$B:$B,"平均")</f>
        <v>0</v>
      </c>
      <c r="J18" s="97">
        <f>SUMIFS('0530 4度C'!$Y:$Y,'0530 4度C'!$A:$A,"新豐10線",'0530 4度C'!$B:$B,"平均")</f>
        <v>0</v>
      </c>
      <c r="K18" s="98">
        <f>SUMIFS('0530 4度C'!$Y:$Y,'0530 4度C'!$A:$A,"新豐8線",'0530 4度C'!$B:$B,"平均")</f>
        <v>0</v>
      </c>
      <c r="L18" s="96">
        <f>SUMIFS('0530 4度C'!$Y:$Y,'0530 4度C'!$A:$A,"新豐9線",'0530 4度C'!$B:$B,"平均")</f>
        <v>0</v>
      </c>
      <c r="M18" s="97">
        <f>SUMIFS('0530 4度C'!$Y:$Y,'0530 4度C'!$A:$A,"新豐4線",'0530 4度C'!$B:$B,"平均")</f>
        <v>0</v>
      </c>
    </row>
    <row r="19" spans="2:13" ht="17.25" customHeight="1">
      <c r="B19" s="506"/>
      <c r="C19" s="94" t="s">
        <v>2869</v>
      </c>
      <c r="D19" s="95">
        <f>SUMIFS('0530 4度C'!$Z:$Z,'0530 4度C'!$A:$A,"新豐6線",'0530 4度C'!$B:$B,"平均")</f>
        <v>0</v>
      </c>
      <c r="E19" s="96">
        <f>SUMIFS('0530 4度C'!$Z:$Z,'0530 4度C'!$A:$A,"新豐2線",'0530 4度C'!$B:$B,"平均")</f>
        <v>0</v>
      </c>
      <c r="F19" s="96">
        <f>SUMIFS('0530 4度C'!$Z:$Z,'0530 4度C'!$A:$A,"新豐5線",'0530 4度C'!$B:$B,"平均")</f>
        <v>0</v>
      </c>
      <c r="G19" s="96">
        <f>SUMIFS('0530 4度C'!$Z:$Z,'0530 4度C'!$A:$A,"新豐7線",'0530 4度C'!$B:$B,"平均")</f>
        <v>0</v>
      </c>
      <c r="H19" s="96">
        <f>SUMIFS('0530 4度C'!$Z:$Z,'0530 4度C'!$A:$A,"新豐3線",'0530 4度C'!$B:$B,"平均")</f>
        <v>0</v>
      </c>
      <c r="I19" s="96">
        <f>SUMIFS('0530 4度C'!$Z:$Z,'0530 4度C'!$A:$A,"新豐1線",'0530 4度C'!$B:$B,"平均")</f>
        <v>0</v>
      </c>
      <c r="J19" s="97">
        <f>SUMIFS('0530 4度C'!$Z:$Z,'0530 4度C'!$A:$A,"新豐10線",'0530 4度C'!$B:$B,"平均")</f>
        <v>0</v>
      </c>
      <c r="K19" s="98">
        <f>SUMIFS('0530 4度C'!$Z:$Z,'0530 4度C'!$A:$A,"新豐8線",'0530 4度C'!$B:$B,"平均")</f>
        <v>0</v>
      </c>
      <c r="L19" s="96">
        <f>SUMIFS('0530 4度C'!$Z:$Z,'0530 4度C'!$A:$A,"新豐9線",'0530 4度C'!$B:$B,"平均")</f>
        <v>0</v>
      </c>
      <c r="M19" s="97">
        <f>SUMIFS('0530 4度C'!$Z:$Z,'0530 4度C'!$A:$A,"新豐4線",'0530 4度C'!$B:$B,"平均")</f>
        <v>0</v>
      </c>
    </row>
    <row r="20" spans="2:13" ht="17.25" customHeight="1">
      <c r="B20" s="505" t="s">
        <v>2870</v>
      </c>
      <c r="C20" s="94" t="s">
        <v>2868</v>
      </c>
      <c r="D20" s="95">
        <f>SUMIFS('0530 4度C'!$AC:$AC,'0530 4度C'!$A:$A,"新豐6線",'0530 4度C'!$B:$B,"平均")</f>
        <v>3</v>
      </c>
      <c r="E20" s="96">
        <f>SUMIFS('0530 4度C'!$AC:$AC,'0530 4度C'!$A:$A,"新豐2線",'0530 4度C'!$B:$B,"平均")</f>
        <v>4</v>
      </c>
      <c r="F20" s="96">
        <f>SUMIFS('0530 4度C'!$AC:$AC,'0530 4度C'!$A:$A,"新豐5線",'0530 4度C'!$B:$B,"平均")</f>
        <v>5</v>
      </c>
      <c r="G20" s="96">
        <f>SUMIFS('0530 4度C'!$AC:$AC,'0530 4度C'!$A:$A,"新豐7線",'0530 4度C'!$B:$B,"平均")</f>
        <v>6</v>
      </c>
      <c r="H20" s="96">
        <f>SUMIFS('0530 4度C'!$AC:$AC,'0530 4度C'!$A:$A,"新豐3線",'0530 4度C'!$B:$B,"平均")</f>
        <v>4</v>
      </c>
      <c r="I20" s="96">
        <f>SUMIFS('0530 4度C'!$AC:$AC,'0530 4度C'!$A:$A,"新豐1線",'0530 4度C'!$B:$B,"平均")</f>
        <v>7</v>
      </c>
      <c r="J20" s="97">
        <f>SUMIFS('0530 4度C'!$AC:$AC,'0530 4度C'!$A:$A,"新豐10線",'0530 4度C'!$B:$B,"平均")</f>
        <v>5</v>
      </c>
      <c r="K20" s="98">
        <f>SUMIFS('0530 4度C'!$AC:$AC,'0530 4度C'!$A:$A,"新豐8線",'0530 4度C'!$B:$B,"平均")</f>
        <v>6</v>
      </c>
      <c r="L20" s="96">
        <f>SUMIFS('0530 4度C'!$AC:$AC,'0530 4度C'!$A:$A,"新豐9線",'0530 4度C'!$B:$B,"平均")</f>
        <v>7</v>
      </c>
      <c r="M20" s="97">
        <f>SUMIFS('0530 4度C'!$AC:$AC,'0530 4度C'!$A:$A,"新豐4線",'0530 4度C'!$B:$B,"平均")</f>
        <v>6</v>
      </c>
    </row>
    <row r="21" spans="2:13" ht="17.25" customHeight="1">
      <c r="B21" s="506"/>
      <c r="C21" s="94" t="s">
        <v>2871</v>
      </c>
      <c r="D21" s="95">
        <f>SUMIFS('0530 4度C'!$AD:$AD,'0530 4度C'!$A:$A,"新豐6線",'0530 4度C'!$B:$B,"平均")</f>
        <v>0</v>
      </c>
      <c r="E21" s="96">
        <f>SUMIFS('0530 4度C'!$AD:$AD,'0530 4度C'!$A:$A,"新豐2線",'0530 4度C'!$B:$B,"平均")</f>
        <v>0</v>
      </c>
      <c r="F21" s="96">
        <f>SUMIFS('0530 4度C'!$AD:$AD,'0530 4度C'!$A:$A,"新豐5線",'0530 4度C'!$B:$B,"平均")</f>
        <v>0</v>
      </c>
      <c r="G21" s="96">
        <f>SUMIFS('0530 4度C'!$AD:$AD,'0530 4度C'!$A:$A,"新豐7線",'0530 4度C'!$B:$B,"平均")</f>
        <v>0</v>
      </c>
      <c r="H21" s="96">
        <f>SUMIFS('0530 4度C'!$AD:$AD,'0530 4度C'!$A:$A,"新豐3線",'0530 4度C'!$B:$B,"平均")</f>
        <v>0</v>
      </c>
      <c r="I21" s="96">
        <f>SUMIFS('0530 4度C'!$AD:$AD,'0530 4度C'!$A:$A,"新豐1線",'0530 4度C'!$B:$B,"平均")</f>
        <v>0</v>
      </c>
      <c r="J21" s="97">
        <f>SUMIFS('0530 4度C'!$AD:$AD,'0530 4度C'!$A:$A,"新豐10線",'0530 4度C'!$B:$B,"平均")</f>
        <v>0</v>
      </c>
      <c r="K21" s="98">
        <f>SUMIFS('0530 4度C'!$AD:$AD,'0530 4度C'!$A:$A,"新豐8線",'0530 4度C'!$B:$B,"平均")</f>
        <v>0</v>
      </c>
      <c r="L21" s="96">
        <f>SUMIFS('0530 4度C'!$AD:$AD,'0530 4度C'!$A:$A,"新豐9線",'0530 4度C'!$B:$B,"平均")</f>
        <v>0</v>
      </c>
      <c r="M21" s="97">
        <f>SUMIFS('0530 4度C'!$AD:$AD,'0530 4度C'!$A:$A,"新豐4線",'0530 4度C'!$B:$B,"平均")</f>
        <v>0</v>
      </c>
    </row>
    <row r="22" spans="2:13" ht="17.25" customHeight="1">
      <c r="B22" s="507" t="s">
        <v>2872</v>
      </c>
      <c r="C22" s="508"/>
      <c r="D22" s="99">
        <f>SUMIFS('0530 4度C'!$I:$I,'0530 4度C'!$A:$A,"新豐6線",'0530 4度C'!$B:$B,"平均")</f>
        <v>15.333333333333334</v>
      </c>
      <c r="E22" s="100">
        <f>SUMIFS('0530 4度C'!$I:$I,'0530 4度C'!$A:$A,"新豐2線",'0530 4度C'!$B:$B,"平均")</f>
        <v>17.25</v>
      </c>
      <c r="F22" s="100">
        <f>SUMIFS('0530 4度C'!$I:$I,'0530 4度C'!$A:$A,"新豐5線",'0530 4度C'!$B:$B,"平均")</f>
        <v>17.600000000000001</v>
      </c>
      <c r="G22" s="100">
        <f>SUMIFS('0530 4度C'!$I:$I,'0530 4度C'!$A:$A,"新豐7線",'0530 4度C'!$B:$B,"平均")</f>
        <v>15.333333333333334</v>
      </c>
      <c r="H22" s="100">
        <f>SUMIFS('0530 4度C'!$I:$I,'0530 4度C'!$A:$A,"新豐3線",'0530 4度C'!$B:$B,"平均")</f>
        <v>10.75</v>
      </c>
      <c r="I22" s="100">
        <f>SUMIFS('0530 4度C'!$I:$I,'0530 4度C'!$A:$A,"新豐1線",'0530 4度C'!$B:$B,"平均")</f>
        <v>18.285714285714285</v>
      </c>
      <c r="J22" s="101">
        <f>SUMIFS('0530 4度C'!$I:$I,'0530 4度C'!$A:$A,"新豐10線",'0530 4度C'!$B:$B,"平均")</f>
        <v>9.4</v>
      </c>
      <c r="K22" s="99">
        <f>SUMIFS('0530 4度C'!$I:$I,'0530 4度C'!$A:$A,"新豐8線",'0530 4度C'!$B:$B,"平均")</f>
        <v>17.333333333333332</v>
      </c>
      <c r="L22" s="100">
        <f>SUMIFS('0530 4度C'!$I:$I,'0530 4度C'!$A:$A,"新豐9線",'0530 4度C'!$B:$B,"平均")</f>
        <v>17.857142857142858</v>
      </c>
      <c r="M22" s="101">
        <f>SUMIFS('0530 4度C'!$I:$I,'0530 4度C'!$A:$A,"新豐4線",'0530 4度C'!$B:$B,"平均")</f>
        <v>15.5</v>
      </c>
    </row>
    <row r="23" spans="2:13" ht="17.25" customHeight="1">
      <c r="B23" s="507" t="s">
        <v>2873</v>
      </c>
      <c r="C23" s="508"/>
      <c r="D23" s="102" t="s">
        <v>177</v>
      </c>
      <c r="E23" s="103" t="s">
        <v>178</v>
      </c>
      <c r="F23" s="103" t="s">
        <v>2874</v>
      </c>
      <c r="G23" s="103" t="s">
        <v>2874</v>
      </c>
      <c r="H23" s="103" t="s">
        <v>180</v>
      </c>
      <c r="I23" s="103" t="s">
        <v>177</v>
      </c>
      <c r="J23" s="104" t="s">
        <v>180</v>
      </c>
      <c r="K23" s="102" t="s">
        <v>2875</v>
      </c>
      <c r="L23" s="103" t="s">
        <v>2875</v>
      </c>
      <c r="M23" s="104" t="s">
        <v>2875</v>
      </c>
    </row>
    <row r="24" spans="2:13" ht="17.25" customHeight="1">
      <c r="B24" s="507" t="s">
        <v>2876</v>
      </c>
      <c r="C24" s="508"/>
      <c r="D24" s="102"/>
      <c r="E24" s="103"/>
      <c r="F24" s="103" t="s">
        <v>2877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2878</v>
      </c>
      <c r="C25" s="510"/>
      <c r="D25" s="105"/>
      <c r="E25" s="106" t="s">
        <v>2879</v>
      </c>
      <c r="F25" s="503" t="s">
        <v>2880</v>
      </c>
      <c r="G25" s="504"/>
      <c r="H25" s="106" t="s">
        <v>2881</v>
      </c>
      <c r="I25" s="106" t="s">
        <v>2882</v>
      </c>
      <c r="J25" s="107" t="s">
        <v>2881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73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8"/>
  <sheetViews>
    <sheetView topLeftCell="M1" zoomScale="80" zoomScaleNormal="80" workbookViewId="0">
      <pane ySplit="4" topLeftCell="A5" activePane="bottomLeft" state="frozen"/>
      <selection sqref="A1:XFD1048576"/>
      <selection pane="bottomLeft" activeCell="AC8" sqref="AC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2883</v>
      </c>
      <c r="B1" s="1"/>
      <c r="C1" s="2" t="s">
        <v>2884</v>
      </c>
      <c r="D1" s="3">
        <f>SUM(F5:F67)</f>
        <v>156221</v>
      </c>
      <c r="E1" s="468" t="s">
        <v>2885</v>
      </c>
      <c r="F1" s="1">
        <f>SUM(G5:G67)</f>
        <v>5347544.29</v>
      </c>
      <c r="G1" s="1" t="s">
        <v>2886</v>
      </c>
      <c r="H1" s="5">
        <f>L8+L13+L46+L54+L19+L60+L33+L41+L26+L67</f>
        <v>154.64285714285714</v>
      </c>
      <c r="I1" s="617" t="s">
        <v>2887</v>
      </c>
      <c r="J1" s="617"/>
      <c r="K1" s="617"/>
      <c r="L1" s="617" t="s">
        <v>2888</v>
      </c>
      <c r="M1" s="617"/>
      <c r="N1" s="617"/>
      <c r="O1" s="617" t="s">
        <v>2889</v>
      </c>
      <c r="P1" s="617"/>
      <c r="Q1" s="617"/>
      <c r="R1" s="617"/>
      <c r="S1" s="617" t="s">
        <v>2890</v>
      </c>
      <c r="T1" s="617"/>
      <c r="U1" s="617"/>
      <c r="V1" s="617"/>
      <c r="W1" s="617"/>
      <c r="X1" s="617"/>
      <c r="Y1" s="6" t="s">
        <v>2891</v>
      </c>
      <c r="Z1" s="7" t="s">
        <v>2892</v>
      </c>
      <c r="AA1" s="618" t="s">
        <v>2893</v>
      </c>
      <c r="AB1" s="618"/>
      <c r="AC1" s="121" t="s">
        <v>2891</v>
      </c>
      <c r="AD1" s="7" t="s">
        <v>2894</v>
      </c>
      <c r="AE1" s="617" t="s">
        <v>2895</v>
      </c>
      <c r="AF1" s="619"/>
      <c r="AG1" s="619"/>
    </row>
    <row r="2" spans="1:33" ht="26.25" customHeight="1">
      <c r="A2" s="37">
        <v>46172</v>
      </c>
      <c r="B2" s="38" t="s">
        <v>249</v>
      </c>
      <c r="C2" s="2" t="s">
        <v>2896</v>
      </c>
      <c r="D2" s="10">
        <f>AVERAGE(N8,N13,N46,N54,N19,N60,N26,N33,N41,N67)</f>
        <v>147.5531808482497</v>
      </c>
      <c r="E2" s="11" t="s">
        <v>14</v>
      </c>
      <c r="F2" s="12">
        <f>F1/D1</f>
        <v>34.2306366621645</v>
      </c>
      <c r="G2" s="1" t="s">
        <v>2897</v>
      </c>
      <c r="H2" s="471">
        <f>COUNT(H5:H67)</f>
        <v>6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SUM(Y8+Y13+Y19+Y26+Y33+Y41+Y46+Y54+Y60+Y67)</f>
        <v>0</v>
      </c>
      <c r="Z2" s="14">
        <f>SUM(Z8+Z13+Z19+Z26+Z33+Z41+Z46+Z54+Z60+Z67)</f>
        <v>0</v>
      </c>
      <c r="AA2" s="618"/>
      <c r="AB2" s="618"/>
      <c r="AC2" s="122">
        <v>53</v>
      </c>
      <c r="AD2" s="14">
        <f>SUM(AD8+AD13+AD19+AD26+AD33+AD41+AD46+AD54+AD60+AD67)</f>
        <v>0</v>
      </c>
      <c r="AE2" s="619"/>
      <c r="AF2" s="619"/>
      <c r="AG2" s="619"/>
    </row>
    <row r="3" spans="1:33" ht="40.5" customHeight="1">
      <c r="A3" s="575" t="s">
        <v>2898</v>
      </c>
      <c r="B3" s="575" t="s">
        <v>2899</v>
      </c>
      <c r="C3" s="575" t="s">
        <v>2900</v>
      </c>
      <c r="D3" s="575"/>
      <c r="E3" s="615" t="s">
        <v>2901</v>
      </c>
      <c r="F3" s="575" t="s">
        <v>2902</v>
      </c>
      <c r="G3" s="615" t="s">
        <v>2903</v>
      </c>
      <c r="H3" s="608" t="s">
        <v>2904</v>
      </c>
      <c r="I3" s="606" t="s">
        <v>2905</v>
      </c>
      <c r="J3" s="603" t="s">
        <v>2906</v>
      </c>
      <c r="K3" s="613" t="s">
        <v>2896</v>
      </c>
      <c r="L3" s="606" t="s">
        <v>2905</v>
      </c>
      <c r="M3" s="603" t="s">
        <v>2906</v>
      </c>
      <c r="N3" s="613" t="s">
        <v>2896</v>
      </c>
      <c r="O3" s="606" t="s">
        <v>2905</v>
      </c>
      <c r="P3" s="613" t="s">
        <v>2896</v>
      </c>
      <c r="Q3" s="604" t="s">
        <v>2907</v>
      </c>
      <c r="R3" s="582" t="s">
        <v>2908</v>
      </c>
      <c r="S3" s="614" t="s">
        <v>28</v>
      </c>
      <c r="T3" s="614"/>
      <c r="U3" s="608" t="s">
        <v>29</v>
      </c>
      <c r="V3" s="608" t="s">
        <v>2909</v>
      </c>
      <c r="W3" s="575" t="s">
        <v>2910</v>
      </c>
      <c r="X3" s="575"/>
      <c r="Y3" s="609" t="s">
        <v>2911</v>
      </c>
      <c r="Z3" s="572"/>
      <c r="AA3" s="610" t="s">
        <v>2912</v>
      </c>
      <c r="AB3" s="611"/>
      <c r="AC3" s="609" t="s">
        <v>2913</v>
      </c>
      <c r="AD3" s="572"/>
      <c r="AE3" s="603" t="s">
        <v>2914</v>
      </c>
      <c r="AF3" s="604" t="s">
        <v>2907</v>
      </c>
      <c r="AG3" s="582" t="s">
        <v>2915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472" t="s">
        <v>36</v>
      </c>
      <c r="T4" s="472" t="s">
        <v>37</v>
      </c>
      <c r="U4" s="608"/>
      <c r="V4" s="608"/>
      <c r="W4" s="468" t="s">
        <v>2916</v>
      </c>
      <c r="X4" s="468" t="s">
        <v>2917</v>
      </c>
      <c r="Y4" s="466" t="s">
        <v>2918</v>
      </c>
      <c r="Z4" s="466" t="s">
        <v>2919</v>
      </c>
      <c r="AA4" s="612"/>
      <c r="AB4" s="611"/>
      <c r="AC4" s="466" t="s">
        <v>2920</v>
      </c>
      <c r="AD4" s="466" t="s">
        <v>2921</v>
      </c>
      <c r="AE4" s="603"/>
      <c r="AF4" s="604"/>
      <c r="AG4" s="582"/>
    </row>
    <row r="5" spans="1:33">
      <c r="A5" s="605" t="s">
        <v>2922</v>
      </c>
      <c r="B5" s="39" t="s">
        <v>74</v>
      </c>
      <c r="C5" s="607" t="s">
        <v>77</v>
      </c>
      <c r="D5" s="607"/>
      <c r="E5" s="39">
        <v>50.67</v>
      </c>
      <c r="F5" s="472">
        <v>1489</v>
      </c>
      <c r="G5" s="468">
        <f t="shared" ref="G5:G7" si="0">E5*F5</f>
        <v>75447.63</v>
      </c>
      <c r="H5" s="48" t="s">
        <v>126</v>
      </c>
      <c r="I5" s="469">
        <v>15</v>
      </c>
      <c r="J5" s="43">
        <v>2000</v>
      </c>
      <c r="K5" s="18">
        <f t="shared" ref="K5:K67" si="1">J5/I5</f>
        <v>133.33333333333334</v>
      </c>
      <c r="L5" s="469">
        <v>15</v>
      </c>
      <c r="M5" s="19">
        <f t="shared" ref="M5:M7" si="2">F5/V5*60</f>
        <v>1942.1739130434783</v>
      </c>
      <c r="N5" s="18">
        <f t="shared" ref="N5:N67" si="3">M5/L5</f>
        <v>129.47826086956522</v>
      </c>
      <c r="O5" s="20">
        <f t="shared" ref="O5:O67" si="4">L5-I5</f>
        <v>0</v>
      </c>
      <c r="P5" s="21">
        <f t="shared" ref="P5:P67" si="5">N5-K5</f>
        <v>-3.8550724637681242</v>
      </c>
      <c r="Q5" s="467">
        <f t="shared" ref="Q5:Q67" si="6">N5/K5</f>
        <v>0.97108695652173904</v>
      </c>
      <c r="R5" s="573">
        <f>Q8</f>
        <v>0.96010636645962721</v>
      </c>
      <c r="S5" s="49">
        <v>0.70833333333333337</v>
      </c>
      <c r="T5" s="49">
        <v>0.74027777777777781</v>
      </c>
      <c r="U5" s="468"/>
      <c r="V5" s="470">
        <f t="shared" ref="V5:V7" si="7">(T5-S5)*24*60</f>
        <v>46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53" si="8">M5-J5</f>
        <v>-57.826086956521749</v>
      </c>
      <c r="AF5" s="467">
        <f t="shared" ref="AF5:AF67" si="9">M5/J5</f>
        <v>0.97108695652173915</v>
      </c>
      <c r="AG5" s="573">
        <f>AF8</f>
        <v>0.96010636645962733</v>
      </c>
    </row>
    <row r="6" spans="1:33">
      <c r="A6" s="606" t="s">
        <v>2922</v>
      </c>
      <c r="B6" s="39" t="s">
        <v>74</v>
      </c>
      <c r="C6" s="607" t="s">
        <v>86</v>
      </c>
      <c r="D6" s="607"/>
      <c r="E6" s="39">
        <v>50.92</v>
      </c>
      <c r="F6" s="472">
        <v>2036</v>
      </c>
      <c r="G6" s="468">
        <f t="shared" si="0"/>
        <v>103673.12000000001</v>
      </c>
      <c r="H6" s="48" t="s">
        <v>126</v>
      </c>
      <c r="I6" s="469">
        <v>15</v>
      </c>
      <c r="J6" s="43">
        <v>2000</v>
      </c>
      <c r="K6" s="18">
        <f t="shared" si="1"/>
        <v>133.33333333333334</v>
      </c>
      <c r="L6" s="469">
        <v>15</v>
      </c>
      <c r="M6" s="19">
        <f t="shared" si="2"/>
        <v>1908.750000000002</v>
      </c>
      <c r="N6" s="18">
        <f t="shared" si="3"/>
        <v>127.25000000000014</v>
      </c>
      <c r="O6" s="20">
        <f t="shared" si="4"/>
        <v>0</v>
      </c>
      <c r="P6" s="21">
        <f t="shared" si="5"/>
        <v>-6.0833333333332007</v>
      </c>
      <c r="Q6" s="467">
        <f t="shared" si="6"/>
        <v>0.95437500000000097</v>
      </c>
      <c r="R6" s="573"/>
      <c r="S6" s="49">
        <v>0.74583333333333335</v>
      </c>
      <c r="T6" s="49">
        <v>0.79027777777777775</v>
      </c>
      <c r="U6" s="468">
        <f t="shared" ref="U6:U7" si="10">IF(S6=TIME(17,0,0),"",(S6-T5)*24*60)</f>
        <v>7.9999999999999716</v>
      </c>
      <c r="V6" s="470">
        <f t="shared" si="7"/>
        <v>63.999999999999929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-91.249999999997954</v>
      </c>
      <c r="AF6" s="467">
        <f t="shared" si="9"/>
        <v>0.95437500000000097</v>
      </c>
      <c r="AG6" s="573"/>
    </row>
    <row r="7" spans="1:33">
      <c r="A7" s="606" t="s">
        <v>2922</v>
      </c>
      <c r="B7" s="39" t="s">
        <v>74</v>
      </c>
      <c r="C7" s="598" t="s">
        <v>93</v>
      </c>
      <c r="D7" s="599"/>
      <c r="E7" s="39">
        <v>50.98</v>
      </c>
      <c r="F7" s="472">
        <v>2228</v>
      </c>
      <c r="G7" s="468">
        <f t="shared" si="0"/>
        <v>113583.43999999999</v>
      </c>
      <c r="H7" s="48" t="s">
        <v>126</v>
      </c>
      <c r="I7" s="469">
        <v>16</v>
      </c>
      <c r="J7" s="43">
        <v>2000</v>
      </c>
      <c r="K7" s="18">
        <f t="shared" si="1"/>
        <v>125</v>
      </c>
      <c r="L7" s="469">
        <v>16</v>
      </c>
      <c r="M7" s="19">
        <f t="shared" si="2"/>
        <v>1909.7142857142837</v>
      </c>
      <c r="N7" s="18">
        <f t="shared" si="3"/>
        <v>119.35714285714273</v>
      </c>
      <c r="O7" s="20">
        <f t="shared" si="4"/>
        <v>0</v>
      </c>
      <c r="P7" s="21">
        <f t="shared" si="5"/>
        <v>-5.6428571428572667</v>
      </c>
      <c r="Q7" s="467">
        <f t="shared" si="6"/>
        <v>0.95485714285714185</v>
      </c>
      <c r="R7" s="573"/>
      <c r="S7" s="49">
        <v>0.79374999999999996</v>
      </c>
      <c r="T7" s="49">
        <v>0.84236111111111112</v>
      </c>
      <c r="U7" s="468">
        <f t="shared" si="10"/>
        <v>4.9999999999999822</v>
      </c>
      <c r="V7" s="470">
        <f t="shared" si="7"/>
        <v>70.000000000000071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-90.285714285716267</v>
      </c>
      <c r="AF7" s="467">
        <f t="shared" si="9"/>
        <v>0.95485714285714185</v>
      </c>
      <c r="AG7" s="573"/>
    </row>
    <row r="8" spans="1:33">
      <c r="A8" s="606" t="s">
        <v>2922</v>
      </c>
      <c r="B8" s="39" t="s">
        <v>2923</v>
      </c>
      <c r="C8" s="576"/>
      <c r="D8" s="576"/>
      <c r="E8" s="473"/>
      <c r="F8" s="42"/>
      <c r="G8" s="18"/>
      <c r="H8" s="472"/>
      <c r="I8" s="32">
        <v>15.333333333333334</v>
      </c>
      <c r="J8" s="43">
        <v>2000</v>
      </c>
      <c r="K8" s="18">
        <f t="shared" si="1"/>
        <v>130.43478260869566</v>
      </c>
      <c r="L8" s="32">
        <v>15.333333333333334</v>
      </c>
      <c r="M8" s="19">
        <f>AVERAGE(M5:M7)</f>
        <v>1920.2127329192547</v>
      </c>
      <c r="N8" s="18">
        <f t="shared" si="3"/>
        <v>125.23126519038617</v>
      </c>
      <c r="O8" s="20">
        <f t="shared" si="4"/>
        <v>0</v>
      </c>
      <c r="P8" s="21">
        <f t="shared" si="5"/>
        <v>-5.2035174183094881</v>
      </c>
      <c r="Q8" s="467">
        <f t="shared" si="6"/>
        <v>0.96010636645962721</v>
      </c>
      <c r="R8" s="573"/>
      <c r="S8" s="49"/>
      <c r="T8" s="49"/>
      <c r="U8" s="468"/>
      <c r="V8" s="470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-79.787267080745323</v>
      </c>
      <c r="AF8" s="467">
        <f t="shared" si="9"/>
        <v>0.96010636645962733</v>
      </c>
      <c r="AG8" s="573"/>
    </row>
    <row r="9" spans="1:33" ht="15.75" customHeight="1">
      <c r="A9" s="602" t="s">
        <v>2924</v>
      </c>
      <c r="B9" s="39" t="s">
        <v>79</v>
      </c>
      <c r="C9" s="598" t="s">
        <v>80</v>
      </c>
      <c r="D9" s="599"/>
      <c r="E9" s="39">
        <v>39.619999999999997</v>
      </c>
      <c r="F9" s="472">
        <v>4627</v>
      </c>
      <c r="G9" s="468">
        <f t="shared" ref="G9:G12" si="11">E9*F9</f>
        <v>183321.74</v>
      </c>
      <c r="H9" s="48" t="s">
        <v>126</v>
      </c>
      <c r="I9" s="469">
        <v>19</v>
      </c>
      <c r="J9" s="43">
        <v>1500</v>
      </c>
      <c r="K9" s="18">
        <f t="shared" si="1"/>
        <v>78.94736842105263</v>
      </c>
      <c r="L9" s="469">
        <v>19</v>
      </c>
      <c r="M9" s="19">
        <f t="shared" ref="M9:M12" si="12">F9/V9*60</f>
        <v>1431.0309278350512</v>
      </c>
      <c r="N9" s="18">
        <f t="shared" si="3"/>
        <v>75.317417254476382</v>
      </c>
      <c r="O9" s="20">
        <f t="shared" si="4"/>
        <v>0</v>
      </c>
      <c r="P9" s="21">
        <f t="shared" si="5"/>
        <v>-3.6299511665762481</v>
      </c>
      <c r="Q9" s="467">
        <f t="shared" si="6"/>
        <v>0.95402061855670084</v>
      </c>
      <c r="R9" s="573">
        <f>Q13</f>
        <v>0.95364302339293794</v>
      </c>
      <c r="S9" s="49">
        <v>8.3333333333333329E-2</v>
      </c>
      <c r="T9" s="49">
        <v>0.21805555555555556</v>
      </c>
      <c r="U9" s="468"/>
      <c r="V9" s="470">
        <f t="shared" ref="V9:V12" si="13">(T9-S9)*24*60</f>
        <v>194.00000000000003</v>
      </c>
      <c r="W9" s="25">
        <f>T9</f>
        <v>0.21805555555555556</v>
      </c>
      <c r="X9" s="25">
        <f>S10</f>
        <v>0.23680555555555555</v>
      </c>
      <c r="Y9" s="25"/>
      <c r="Z9" s="25"/>
      <c r="AA9" s="575"/>
      <c r="AB9" s="575"/>
      <c r="AC9" s="50">
        <v>4</v>
      </c>
      <c r="AD9" s="27"/>
      <c r="AE9" s="20">
        <f t="shared" si="8"/>
        <v>-68.969072164948784</v>
      </c>
      <c r="AF9" s="467">
        <f t="shared" si="9"/>
        <v>0.95402061855670084</v>
      </c>
      <c r="AG9" s="573">
        <f>AF13</f>
        <v>0.95364302339293805</v>
      </c>
    </row>
    <row r="10" spans="1:33" ht="15.75" customHeight="1">
      <c r="A10" s="602" t="s">
        <v>2925</v>
      </c>
      <c r="B10" s="39" t="s">
        <v>79</v>
      </c>
      <c r="C10" s="598" t="s">
        <v>81</v>
      </c>
      <c r="D10" s="599"/>
      <c r="E10" s="39">
        <v>39.799999999999997</v>
      </c>
      <c r="F10" s="472">
        <v>3600</v>
      </c>
      <c r="G10" s="468">
        <f t="shared" si="11"/>
        <v>143280</v>
      </c>
      <c r="H10" s="48">
        <v>2</v>
      </c>
      <c r="I10" s="469">
        <v>17</v>
      </c>
      <c r="J10" s="43">
        <v>1500</v>
      </c>
      <c r="K10" s="18">
        <f t="shared" si="1"/>
        <v>88.235294117647058</v>
      </c>
      <c r="L10" s="469">
        <v>17</v>
      </c>
      <c r="M10" s="19">
        <f t="shared" si="12"/>
        <v>1430.46357615894</v>
      </c>
      <c r="N10" s="18">
        <f t="shared" si="3"/>
        <v>84.144916244643525</v>
      </c>
      <c r="O10" s="20">
        <f t="shared" si="4"/>
        <v>0</v>
      </c>
      <c r="P10" s="21">
        <f t="shared" si="5"/>
        <v>-4.0903778730035327</v>
      </c>
      <c r="Q10" s="467">
        <f t="shared" si="6"/>
        <v>0.95364238410595992</v>
      </c>
      <c r="R10" s="573"/>
      <c r="S10" s="49">
        <v>0.23680555555555555</v>
      </c>
      <c r="T10" s="49">
        <v>0.34166666666666667</v>
      </c>
      <c r="U10" s="468">
        <f t="shared" ref="U10:U12" si="14">IF(S10=TIME(17,0,0),"",(S10-T9)*24*60)</f>
        <v>26.999999999999986</v>
      </c>
      <c r="V10" s="470">
        <f t="shared" si="13"/>
        <v>151.00000000000003</v>
      </c>
      <c r="W10" s="25"/>
      <c r="X10" s="25"/>
      <c r="Y10" s="25"/>
      <c r="Z10" s="25"/>
      <c r="AA10" s="575"/>
      <c r="AB10" s="575"/>
      <c r="AC10" s="50"/>
      <c r="AD10" s="27"/>
      <c r="AE10" s="20">
        <f t="shared" si="8"/>
        <v>-69.536423841060014</v>
      </c>
      <c r="AF10" s="467">
        <f t="shared" si="9"/>
        <v>0.95364238410596003</v>
      </c>
      <c r="AG10" s="573"/>
    </row>
    <row r="11" spans="1:33" ht="15.75" customHeight="1">
      <c r="A11" s="602" t="s">
        <v>2926</v>
      </c>
      <c r="B11" s="39" t="s">
        <v>79</v>
      </c>
      <c r="C11" s="598" t="s">
        <v>1953</v>
      </c>
      <c r="D11" s="599"/>
      <c r="E11" s="39">
        <v>39.46</v>
      </c>
      <c r="F11" s="472">
        <v>5117</v>
      </c>
      <c r="G11" s="468">
        <f t="shared" si="11"/>
        <v>201916.82</v>
      </c>
      <c r="H11" s="48" t="s">
        <v>126</v>
      </c>
      <c r="I11" s="469">
        <v>16</v>
      </c>
      <c r="J11" s="43">
        <v>1500</v>
      </c>
      <c r="K11" s="18">
        <f t="shared" si="1"/>
        <v>93.75</v>
      </c>
      <c r="L11" s="469">
        <v>16</v>
      </c>
      <c r="M11" s="19">
        <f t="shared" si="12"/>
        <v>1427.9999999999998</v>
      </c>
      <c r="N11" s="18">
        <f t="shared" si="3"/>
        <v>89.249999999999986</v>
      </c>
      <c r="O11" s="20">
        <f t="shared" si="4"/>
        <v>0</v>
      </c>
      <c r="P11" s="21">
        <f t="shared" si="5"/>
        <v>-4.5000000000000142</v>
      </c>
      <c r="Q11" s="467">
        <f t="shared" si="6"/>
        <v>0.95199999999999985</v>
      </c>
      <c r="R11" s="573"/>
      <c r="S11" s="49">
        <v>0.34652777777777777</v>
      </c>
      <c r="T11" s="49">
        <v>0.49583333333333335</v>
      </c>
      <c r="U11" s="468">
        <f t="shared" si="14"/>
        <v>6.9999999999999751</v>
      </c>
      <c r="V11" s="470">
        <f t="shared" si="13"/>
        <v>215.00000000000003</v>
      </c>
      <c r="W11" s="25">
        <f>T11</f>
        <v>0.49583333333333335</v>
      </c>
      <c r="X11" s="25">
        <f>S12</f>
        <v>0.53819444444444442</v>
      </c>
      <c r="Y11" s="25"/>
      <c r="Z11" s="25"/>
      <c r="AA11" s="575"/>
      <c r="AB11" s="575"/>
      <c r="AC11" s="50"/>
      <c r="AD11" s="27"/>
      <c r="AE11" s="20">
        <f t="shared" si="8"/>
        <v>-72.000000000000227</v>
      </c>
      <c r="AF11" s="467">
        <f t="shared" si="9"/>
        <v>0.95199999999999985</v>
      </c>
      <c r="AG11" s="573"/>
    </row>
    <row r="12" spans="1:33" ht="15.75" customHeight="1">
      <c r="A12" s="602" t="s">
        <v>2925</v>
      </c>
      <c r="B12" s="39" t="s">
        <v>79</v>
      </c>
      <c r="C12" s="598" t="s">
        <v>81</v>
      </c>
      <c r="D12" s="599"/>
      <c r="E12" s="39">
        <v>39.799999999999997</v>
      </c>
      <c r="F12" s="472">
        <v>2626</v>
      </c>
      <c r="G12" s="468">
        <f t="shared" si="11"/>
        <v>104514.79999999999</v>
      </c>
      <c r="H12" s="48" t="s">
        <v>126</v>
      </c>
      <c r="I12" s="469">
        <v>17</v>
      </c>
      <c r="J12" s="43">
        <v>1500</v>
      </c>
      <c r="K12" s="18">
        <f t="shared" si="1"/>
        <v>88.235294117647058</v>
      </c>
      <c r="L12" s="469">
        <v>17</v>
      </c>
      <c r="M12" s="19">
        <f t="shared" si="12"/>
        <v>1432.3636363636374</v>
      </c>
      <c r="N12" s="18">
        <f t="shared" si="3"/>
        <v>84.256684491978675</v>
      </c>
      <c r="O12" s="20">
        <f t="shared" si="4"/>
        <v>0</v>
      </c>
      <c r="P12" s="21">
        <f t="shared" si="5"/>
        <v>-3.9786096256683834</v>
      </c>
      <c r="Q12" s="467">
        <f t="shared" si="6"/>
        <v>0.95490909090909171</v>
      </c>
      <c r="R12" s="573"/>
      <c r="S12" s="49">
        <v>0.53819444444444442</v>
      </c>
      <c r="T12" s="49">
        <v>0.61458333333333326</v>
      </c>
      <c r="U12" s="468">
        <f t="shared" si="14"/>
        <v>60.999999999999943</v>
      </c>
      <c r="V12" s="470">
        <f t="shared" si="13"/>
        <v>109.99999999999993</v>
      </c>
      <c r="W12" s="25"/>
      <c r="X12" s="25"/>
      <c r="Y12" s="25"/>
      <c r="Z12" s="25"/>
      <c r="AA12" s="568"/>
      <c r="AB12" s="569"/>
      <c r="AC12" s="50"/>
      <c r="AD12" s="27"/>
      <c r="AE12" s="20">
        <f t="shared" si="8"/>
        <v>-67.636363636362603</v>
      </c>
      <c r="AF12" s="467">
        <f t="shared" si="9"/>
        <v>0.9549090909090916</v>
      </c>
      <c r="AG12" s="573"/>
    </row>
    <row r="13" spans="1:33" ht="16.5" customHeight="1">
      <c r="A13" s="602" t="s">
        <v>2925</v>
      </c>
      <c r="B13" s="39" t="s">
        <v>2927</v>
      </c>
      <c r="C13" s="576"/>
      <c r="D13" s="576"/>
      <c r="E13" s="473"/>
      <c r="F13" s="43"/>
      <c r="G13" s="19"/>
      <c r="H13" s="472"/>
      <c r="I13" s="32">
        <v>17.25</v>
      </c>
      <c r="J13" s="43">
        <v>1500</v>
      </c>
      <c r="K13" s="18">
        <f t="shared" si="1"/>
        <v>86.956521739130437</v>
      </c>
      <c r="L13" s="32">
        <v>17.25</v>
      </c>
      <c r="M13" s="19">
        <f>AVERAGE(M9:M12)</f>
        <v>1430.464535089407</v>
      </c>
      <c r="N13" s="18">
        <f t="shared" si="3"/>
        <v>82.925480295038085</v>
      </c>
      <c r="O13" s="20">
        <f t="shared" si="4"/>
        <v>0</v>
      </c>
      <c r="P13" s="21">
        <f t="shared" si="5"/>
        <v>-4.0310414440923523</v>
      </c>
      <c r="Q13" s="467">
        <f t="shared" si="6"/>
        <v>0.95364302339293794</v>
      </c>
      <c r="R13" s="573"/>
      <c r="S13" s="49"/>
      <c r="T13" s="49"/>
      <c r="U13" s="18"/>
      <c r="V13" s="470"/>
      <c r="W13" s="18"/>
      <c r="X13" s="18"/>
      <c r="Y13" s="33">
        <f>SUM(Y9:Y12)</f>
        <v>0</v>
      </c>
      <c r="Z13" s="33">
        <f>SUM(Z9:Z12)</f>
        <v>0</v>
      </c>
      <c r="AA13" s="572"/>
      <c r="AB13" s="572"/>
      <c r="AC13" s="33">
        <v>4</v>
      </c>
      <c r="AD13" s="33">
        <f>SUM(AD9:AD12)</f>
        <v>0</v>
      </c>
      <c r="AE13" s="20">
        <f t="shared" si="8"/>
        <v>-69.535464910592964</v>
      </c>
      <c r="AF13" s="467">
        <f t="shared" si="9"/>
        <v>0.95364302339293805</v>
      </c>
      <c r="AG13" s="573"/>
    </row>
    <row r="14" spans="1:33" ht="16.5" customHeight="1">
      <c r="A14" s="600" t="s">
        <v>2928</v>
      </c>
      <c r="B14" s="472" t="s">
        <v>82</v>
      </c>
      <c r="C14" s="594" t="s">
        <v>83</v>
      </c>
      <c r="D14" s="594"/>
      <c r="E14" s="39">
        <v>41</v>
      </c>
      <c r="F14" s="472">
        <v>1423</v>
      </c>
      <c r="G14" s="468">
        <f t="shared" ref="G14:G18" si="15">E14*F14</f>
        <v>58343</v>
      </c>
      <c r="H14" s="48" t="s">
        <v>126</v>
      </c>
      <c r="I14" s="469">
        <v>26</v>
      </c>
      <c r="J14" s="43">
        <v>1500</v>
      </c>
      <c r="K14" s="18">
        <f t="shared" si="1"/>
        <v>57.692307692307693</v>
      </c>
      <c r="L14" s="469">
        <v>26</v>
      </c>
      <c r="M14" s="19">
        <f t="shared" ref="M14:M18" si="16">F14/V14*60</f>
        <v>1447.1186440677968</v>
      </c>
      <c r="N14" s="18">
        <f t="shared" si="3"/>
        <v>55.658409387222953</v>
      </c>
      <c r="O14" s="20">
        <f t="shared" si="4"/>
        <v>0</v>
      </c>
      <c r="P14" s="21">
        <f t="shared" si="5"/>
        <v>-2.0338983050847403</v>
      </c>
      <c r="Q14" s="467">
        <f t="shared" si="6"/>
        <v>0.96474576271186452</v>
      </c>
      <c r="R14" s="573">
        <f>Q19</f>
        <v>0.96267468083952212</v>
      </c>
      <c r="S14" s="49">
        <v>0.20833333333333334</v>
      </c>
      <c r="T14" s="49">
        <v>0.24930555555555556</v>
      </c>
      <c r="U14" s="468"/>
      <c r="V14" s="470">
        <f t="shared" ref="V14:V18" si="17">(T14-S14)*24*60</f>
        <v>58.999999999999993</v>
      </c>
      <c r="W14" s="30"/>
      <c r="X14" s="30"/>
      <c r="Y14" s="30"/>
      <c r="Z14" s="30"/>
      <c r="AA14" s="575"/>
      <c r="AB14" s="575"/>
      <c r="AC14" s="50">
        <v>5</v>
      </c>
      <c r="AD14" s="27"/>
      <c r="AE14" s="20">
        <f t="shared" si="8"/>
        <v>-52.881355932203178</v>
      </c>
      <c r="AF14" s="467">
        <f t="shared" si="9"/>
        <v>0.96474576271186452</v>
      </c>
      <c r="AG14" s="573">
        <f>AF19</f>
        <v>0.96267468083952212</v>
      </c>
    </row>
    <row r="15" spans="1:33" ht="16.5" customHeight="1">
      <c r="A15" s="601" t="s">
        <v>2928</v>
      </c>
      <c r="B15" s="472" t="s">
        <v>74</v>
      </c>
      <c r="C15" s="594" t="s">
        <v>2623</v>
      </c>
      <c r="D15" s="594"/>
      <c r="E15" s="39">
        <v>37.03</v>
      </c>
      <c r="F15" s="472">
        <v>1860</v>
      </c>
      <c r="G15" s="468">
        <f t="shared" si="15"/>
        <v>68875.8</v>
      </c>
      <c r="H15" s="48" t="s">
        <v>126</v>
      </c>
      <c r="I15" s="469">
        <v>13</v>
      </c>
      <c r="J15" s="43">
        <v>1500</v>
      </c>
      <c r="K15" s="18">
        <f t="shared" si="1"/>
        <v>115.38461538461539</v>
      </c>
      <c r="L15" s="469">
        <v>13</v>
      </c>
      <c r="M15" s="19">
        <f t="shared" si="16"/>
        <v>1430.76923076923</v>
      </c>
      <c r="N15" s="18">
        <f t="shared" si="3"/>
        <v>110.05917159763308</v>
      </c>
      <c r="O15" s="20">
        <f t="shared" si="4"/>
        <v>0</v>
      </c>
      <c r="P15" s="21">
        <f t="shared" si="5"/>
        <v>-5.325443786982305</v>
      </c>
      <c r="Q15" s="467">
        <f t="shared" si="6"/>
        <v>0.95384615384615334</v>
      </c>
      <c r="R15" s="573"/>
      <c r="S15" s="49">
        <v>0.25277777777777777</v>
      </c>
      <c r="T15" s="49">
        <v>0.30694444444444446</v>
      </c>
      <c r="U15" s="468">
        <f t="shared" ref="U15:U18" si="18">IF(S15=TIME(17,0,0),"",(S15-T14)*24*60)</f>
        <v>4.9999999999999822</v>
      </c>
      <c r="V15" s="470">
        <f t="shared" si="17"/>
        <v>78.000000000000043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-69.230769230769965</v>
      </c>
      <c r="AF15" s="467">
        <f t="shared" si="9"/>
        <v>0.95384615384615334</v>
      </c>
      <c r="AG15" s="573"/>
    </row>
    <row r="16" spans="1:33" ht="16.5" customHeight="1">
      <c r="A16" s="601" t="s">
        <v>2928</v>
      </c>
      <c r="B16" s="472" t="s">
        <v>74</v>
      </c>
      <c r="C16" s="594" t="s">
        <v>85</v>
      </c>
      <c r="D16" s="594"/>
      <c r="E16" s="39">
        <v>53.68</v>
      </c>
      <c r="F16" s="472">
        <v>1120</v>
      </c>
      <c r="G16" s="468">
        <f t="shared" si="15"/>
        <v>60121.599999999999</v>
      </c>
      <c r="H16" s="48" t="s">
        <v>126</v>
      </c>
      <c r="I16" s="469">
        <v>16</v>
      </c>
      <c r="J16" s="43">
        <v>1500</v>
      </c>
      <c r="K16" s="18">
        <f t="shared" si="1"/>
        <v>93.75</v>
      </c>
      <c r="L16" s="469">
        <v>16</v>
      </c>
      <c r="M16" s="19">
        <f t="shared" si="16"/>
        <v>1429.7872340425533</v>
      </c>
      <c r="N16" s="18">
        <f t="shared" si="3"/>
        <v>89.361702127659584</v>
      </c>
      <c r="O16" s="20">
        <f t="shared" si="4"/>
        <v>0</v>
      </c>
      <c r="P16" s="21">
        <f t="shared" si="5"/>
        <v>-4.3882978723404165</v>
      </c>
      <c r="Q16" s="467">
        <f t="shared" si="6"/>
        <v>0.95319148936170217</v>
      </c>
      <c r="R16" s="573"/>
      <c r="S16" s="49">
        <v>0.70833333333333337</v>
      </c>
      <c r="T16" s="49">
        <v>0.74097222222222225</v>
      </c>
      <c r="U16" s="468" t="str">
        <f t="shared" si="18"/>
        <v/>
      </c>
      <c r="V16" s="470">
        <f t="shared" si="17"/>
        <v>46.999999999999993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-70.212765957446663</v>
      </c>
      <c r="AF16" s="467">
        <f t="shared" si="9"/>
        <v>0.95319148936170217</v>
      </c>
      <c r="AG16" s="573"/>
    </row>
    <row r="17" spans="1:33" ht="16.5" customHeight="1">
      <c r="A17" s="601" t="s">
        <v>2928</v>
      </c>
      <c r="B17" s="472" t="s">
        <v>74</v>
      </c>
      <c r="C17" s="594" t="s">
        <v>78</v>
      </c>
      <c r="D17" s="594"/>
      <c r="E17" s="39">
        <v>52.86</v>
      </c>
      <c r="F17" s="472">
        <v>1322</v>
      </c>
      <c r="G17" s="468">
        <f t="shared" si="15"/>
        <v>69880.92</v>
      </c>
      <c r="H17" s="48" t="s">
        <v>126</v>
      </c>
      <c r="I17" s="469">
        <v>16</v>
      </c>
      <c r="J17" s="43">
        <v>2000</v>
      </c>
      <c r="K17" s="18">
        <f t="shared" si="1"/>
        <v>125</v>
      </c>
      <c r="L17" s="469">
        <v>16</v>
      </c>
      <c r="M17" s="19">
        <f t="shared" si="16"/>
        <v>1934.6341463414628</v>
      </c>
      <c r="N17" s="18">
        <f t="shared" si="3"/>
        <v>120.91463414634143</v>
      </c>
      <c r="O17" s="20">
        <f t="shared" si="4"/>
        <v>0</v>
      </c>
      <c r="P17" s="21">
        <f t="shared" si="5"/>
        <v>-4.0853658536585726</v>
      </c>
      <c r="Q17" s="467">
        <f t="shared" si="6"/>
        <v>0.96731707317073146</v>
      </c>
      <c r="R17" s="573"/>
      <c r="S17" s="49">
        <v>0.74583333333333335</v>
      </c>
      <c r="T17" s="49">
        <v>0.77430555555555558</v>
      </c>
      <c r="U17" s="468">
        <f t="shared" si="18"/>
        <v>6.9999999999999751</v>
      </c>
      <c r="V17" s="470">
        <f t="shared" si="17"/>
        <v>41.000000000000014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-65.365853658537162</v>
      </c>
      <c r="AF17" s="467">
        <f t="shared" si="9"/>
        <v>0.96731707317073146</v>
      </c>
      <c r="AG17" s="573"/>
    </row>
    <row r="18" spans="1:33" ht="16.5" customHeight="1">
      <c r="A18" s="601" t="s">
        <v>2928</v>
      </c>
      <c r="B18" s="472" t="s">
        <v>74</v>
      </c>
      <c r="C18" s="594" t="s">
        <v>75</v>
      </c>
      <c r="D18" s="594"/>
      <c r="E18" s="39">
        <v>50.67</v>
      </c>
      <c r="F18" s="472">
        <v>1520</v>
      </c>
      <c r="G18" s="468">
        <f t="shared" si="15"/>
        <v>77018.400000000009</v>
      </c>
      <c r="H18" s="48" t="s">
        <v>126</v>
      </c>
      <c r="I18" s="469">
        <v>17</v>
      </c>
      <c r="J18" s="43">
        <v>2000</v>
      </c>
      <c r="K18" s="18">
        <f t="shared" si="1"/>
        <v>117.64705882352941</v>
      </c>
      <c r="L18" s="469">
        <v>17</v>
      </c>
      <c r="M18" s="19">
        <f t="shared" si="16"/>
        <v>1940.4255319148938</v>
      </c>
      <c r="N18" s="18">
        <f t="shared" si="3"/>
        <v>114.14267834793493</v>
      </c>
      <c r="O18" s="20">
        <f t="shared" si="4"/>
        <v>0</v>
      </c>
      <c r="P18" s="21">
        <f t="shared" si="5"/>
        <v>-3.5043804755944734</v>
      </c>
      <c r="Q18" s="467">
        <f t="shared" si="6"/>
        <v>0.97021276595744699</v>
      </c>
      <c r="R18" s="573"/>
      <c r="S18" s="49">
        <v>0.77777777777777779</v>
      </c>
      <c r="T18" s="49">
        <v>0.81041666666666667</v>
      </c>
      <c r="U18" s="468">
        <f t="shared" si="18"/>
        <v>4.9999999999999822</v>
      </c>
      <c r="V18" s="470">
        <f t="shared" si="17"/>
        <v>46.999999999999993</v>
      </c>
      <c r="W18" s="25"/>
      <c r="X18" s="25"/>
      <c r="Y18" s="25"/>
      <c r="Z18" s="25"/>
      <c r="AA18" s="575"/>
      <c r="AB18" s="575"/>
      <c r="AC18" s="50"/>
      <c r="AD18" s="27"/>
      <c r="AE18" s="20">
        <f t="shared" si="8"/>
        <v>-59.574468085106218</v>
      </c>
      <c r="AF18" s="467">
        <f t="shared" si="9"/>
        <v>0.97021276595744688</v>
      </c>
      <c r="AG18" s="573"/>
    </row>
    <row r="19" spans="1:33" ht="16.5" customHeight="1">
      <c r="A19" s="601" t="s">
        <v>2928</v>
      </c>
      <c r="B19" s="39" t="s">
        <v>2927</v>
      </c>
      <c r="C19" s="576"/>
      <c r="D19" s="576"/>
      <c r="E19" s="473"/>
      <c r="F19" s="42"/>
      <c r="G19" s="18"/>
      <c r="H19" s="472"/>
      <c r="I19" s="32">
        <v>17.600000000000001</v>
      </c>
      <c r="J19" s="43">
        <v>1700</v>
      </c>
      <c r="K19" s="18">
        <f t="shared" si="1"/>
        <v>96.590909090909079</v>
      </c>
      <c r="L19" s="32">
        <v>17.600000000000001</v>
      </c>
      <c r="M19" s="19">
        <f>AVERAGE(M14:M18)</f>
        <v>1636.5469574271876</v>
      </c>
      <c r="N19" s="18">
        <f t="shared" si="3"/>
        <v>92.985622581090198</v>
      </c>
      <c r="O19" s="20">
        <f t="shared" si="4"/>
        <v>0</v>
      </c>
      <c r="P19" s="21">
        <f t="shared" si="5"/>
        <v>-3.6052865098188818</v>
      </c>
      <c r="Q19" s="467">
        <f t="shared" si="6"/>
        <v>0.96267468083952212</v>
      </c>
      <c r="R19" s="573"/>
      <c r="S19" s="49"/>
      <c r="T19" s="49"/>
      <c r="U19" s="468"/>
      <c r="V19" s="470"/>
      <c r="W19" s="18"/>
      <c r="X19" s="18"/>
      <c r="Y19" s="33">
        <f>SUM(Y14:Y18)</f>
        <v>0</v>
      </c>
      <c r="Z19" s="33">
        <f>SUM(Z14:Z18)</f>
        <v>0</v>
      </c>
      <c r="AA19" s="572"/>
      <c r="AB19" s="572"/>
      <c r="AC19" s="33">
        <v>5</v>
      </c>
      <c r="AD19" s="33">
        <f>SUM(AD14:AD18)</f>
        <v>0</v>
      </c>
      <c r="AE19" s="20">
        <f t="shared" si="8"/>
        <v>-63.453042572812365</v>
      </c>
      <c r="AF19" s="467">
        <f t="shared" si="9"/>
        <v>0.96267468083952212</v>
      </c>
      <c r="AG19" s="573"/>
    </row>
    <row r="20" spans="1:33" ht="15.75" customHeight="1">
      <c r="A20" s="596" t="s">
        <v>2929</v>
      </c>
      <c r="B20" s="39" t="s">
        <v>74</v>
      </c>
      <c r="C20" s="594" t="s">
        <v>84</v>
      </c>
      <c r="D20" s="594"/>
      <c r="E20" s="39">
        <v>54.09</v>
      </c>
      <c r="F20" s="472">
        <v>1404</v>
      </c>
      <c r="G20" s="468">
        <f t="shared" ref="G20:G25" si="19">E20*F20</f>
        <v>75942.36</v>
      </c>
      <c r="H20" s="48" t="s">
        <v>126</v>
      </c>
      <c r="I20" s="469">
        <v>17</v>
      </c>
      <c r="J20" s="43">
        <v>1500</v>
      </c>
      <c r="K20" s="18">
        <f t="shared" si="1"/>
        <v>88.235294117647058</v>
      </c>
      <c r="L20" s="469">
        <v>17</v>
      </c>
      <c r="M20" s="19">
        <f t="shared" ref="M20:M25" si="20">F20/V20*60</f>
        <v>1427.7966101694917</v>
      </c>
      <c r="N20" s="18">
        <f t="shared" si="3"/>
        <v>83.98803589232304</v>
      </c>
      <c r="O20" s="20">
        <f t="shared" si="4"/>
        <v>0</v>
      </c>
      <c r="P20" s="21">
        <f t="shared" si="5"/>
        <v>-4.2472582253240176</v>
      </c>
      <c r="Q20" s="467">
        <f t="shared" si="6"/>
        <v>0.95186440677966111</v>
      </c>
      <c r="R20" s="573">
        <f>Q26</f>
        <v>0.96018363797726847</v>
      </c>
      <c r="S20" s="49">
        <v>0.20833333333333334</v>
      </c>
      <c r="T20" s="49">
        <v>0.24930555555555556</v>
      </c>
      <c r="U20" s="468"/>
      <c r="V20" s="470">
        <f t="shared" ref="V20:V25" si="21">(T20-S20)*24*60</f>
        <v>58.999999999999993</v>
      </c>
      <c r="W20" s="30"/>
      <c r="X20" s="30"/>
      <c r="Y20" s="30"/>
      <c r="Z20" s="30"/>
      <c r="AA20" s="575"/>
      <c r="AB20" s="575"/>
      <c r="AC20" s="50">
        <v>6</v>
      </c>
      <c r="AD20" s="27"/>
      <c r="AE20" s="20">
        <f t="shared" si="8"/>
        <v>-72.203389830508286</v>
      </c>
      <c r="AF20" s="467">
        <f t="shared" si="9"/>
        <v>0.95186440677966111</v>
      </c>
      <c r="AG20" s="573">
        <f>AF26</f>
        <v>0.96018363797726847</v>
      </c>
    </row>
    <row r="21" spans="1:33" ht="15.75" customHeight="1">
      <c r="A21" s="597" t="s">
        <v>53</v>
      </c>
      <c r="B21" s="39" t="s">
        <v>74</v>
      </c>
      <c r="C21" s="594" t="s">
        <v>89</v>
      </c>
      <c r="D21" s="594"/>
      <c r="E21" s="39">
        <v>50.67</v>
      </c>
      <c r="F21" s="472">
        <v>1650</v>
      </c>
      <c r="G21" s="468">
        <f t="shared" si="19"/>
        <v>83605.5</v>
      </c>
      <c r="H21" s="48" t="s">
        <v>126</v>
      </c>
      <c r="I21" s="469">
        <v>17</v>
      </c>
      <c r="J21" s="43">
        <v>2000</v>
      </c>
      <c r="K21" s="18">
        <f t="shared" si="1"/>
        <v>117.64705882352941</v>
      </c>
      <c r="L21" s="469">
        <v>17</v>
      </c>
      <c r="M21" s="19">
        <f t="shared" si="20"/>
        <v>1941.176470588236</v>
      </c>
      <c r="N21" s="18">
        <f t="shared" si="3"/>
        <v>114.18685121107271</v>
      </c>
      <c r="O21" s="20">
        <f t="shared" si="4"/>
        <v>0</v>
      </c>
      <c r="P21" s="21">
        <f t="shared" si="5"/>
        <v>-3.4602076124566992</v>
      </c>
      <c r="Q21" s="467">
        <f t="shared" si="6"/>
        <v>0.97058823529411808</v>
      </c>
      <c r="R21" s="573"/>
      <c r="S21" s="49">
        <v>0.25277777777777777</v>
      </c>
      <c r="T21" s="49">
        <v>0.28819444444444442</v>
      </c>
      <c r="U21" s="468">
        <f t="shared" ref="U21:U25" si="22">IF(S21=TIME(17,0,0),"",(S21-T20)*24*60)</f>
        <v>4.9999999999999822</v>
      </c>
      <c r="V21" s="470">
        <f t="shared" si="21"/>
        <v>50.999999999999979</v>
      </c>
      <c r="W21" s="25"/>
      <c r="X21" s="468"/>
      <c r="Y21" s="468"/>
      <c r="Z21" s="468"/>
      <c r="AA21" s="575"/>
      <c r="AB21" s="575"/>
      <c r="AC21" s="50"/>
      <c r="AD21" s="27"/>
      <c r="AE21" s="20">
        <f t="shared" si="8"/>
        <v>-58.823529411763957</v>
      </c>
      <c r="AF21" s="467">
        <f t="shared" si="9"/>
        <v>0.97058823529411797</v>
      </c>
      <c r="AG21" s="573"/>
    </row>
    <row r="22" spans="1:33" ht="15.75" customHeight="1">
      <c r="A22" s="597" t="s">
        <v>2930</v>
      </c>
      <c r="B22" s="39" t="s">
        <v>74</v>
      </c>
      <c r="C22" s="594" t="s">
        <v>90</v>
      </c>
      <c r="D22" s="594"/>
      <c r="E22" s="39">
        <v>57.73</v>
      </c>
      <c r="F22" s="472">
        <v>2107</v>
      </c>
      <c r="G22" s="468">
        <f t="shared" si="19"/>
        <v>121637.11</v>
      </c>
      <c r="H22" s="48" t="s">
        <v>126</v>
      </c>
      <c r="I22" s="469">
        <v>14</v>
      </c>
      <c r="J22" s="43">
        <v>2000</v>
      </c>
      <c r="K22" s="18">
        <f t="shared" si="1"/>
        <v>142.85714285714286</v>
      </c>
      <c r="L22" s="469">
        <v>14</v>
      </c>
      <c r="M22" s="19">
        <f t="shared" si="20"/>
        <v>1915.4545454545455</v>
      </c>
      <c r="N22" s="18">
        <f t="shared" si="3"/>
        <v>136.81818181818181</v>
      </c>
      <c r="O22" s="20">
        <f t="shared" si="4"/>
        <v>0</v>
      </c>
      <c r="P22" s="21">
        <f t="shared" si="5"/>
        <v>-6.0389610389610482</v>
      </c>
      <c r="Q22" s="467">
        <f t="shared" si="6"/>
        <v>0.95772727272727265</v>
      </c>
      <c r="R22" s="573"/>
      <c r="S22" s="49">
        <v>0.29305555555555551</v>
      </c>
      <c r="T22" s="49">
        <v>0.33888888888888885</v>
      </c>
      <c r="U22" s="468">
        <f t="shared" si="22"/>
        <v>6.9999999999999751</v>
      </c>
      <c r="V22" s="470">
        <f t="shared" si="21"/>
        <v>66</v>
      </c>
      <c r="W22" s="25"/>
      <c r="X22" s="468"/>
      <c r="Y22" s="468"/>
      <c r="Z22" s="468"/>
      <c r="AA22" s="575"/>
      <c r="AB22" s="575"/>
      <c r="AC22" s="50"/>
      <c r="AD22" s="27"/>
      <c r="AE22" s="20">
        <f t="shared" si="8"/>
        <v>-84.545454545454504</v>
      </c>
      <c r="AF22" s="467">
        <f t="shared" si="9"/>
        <v>0.95772727272727276</v>
      </c>
      <c r="AG22" s="573"/>
    </row>
    <row r="23" spans="1:33" ht="15.75" customHeight="1">
      <c r="A23" s="597" t="s">
        <v>53</v>
      </c>
      <c r="B23" s="39" t="s">
        <v>74</v>
      </c>
      <c r="C23" s="594" t="s">
        <v>1232</v>
      </c>
      <c r="D23" s="594"/>
      <c r="E23" s="39">
        <v>53.27</v>
      </c>
      <c r="F23" s="472">
        <v>1908</v>
      </c>
      <c r="G23" s="468">
        <f t="shared" si="19"/>
        <v>101639.16</v>
      </c>
      <c r="H23" s="48" t="s">
        <v>126</v>
      </c>
      <c r="I23" s="469">
        <v>16</v>
      </c>
      <c r="J23" s="43">
        <v>2000</v>
      </c>
      <c r="K23" s="18">
        <f t="shared" si="1"/>
        <v>125</v>
      </c>
      <c r="L23" s="469">
        <v>16</v>
      </c>
      <c r="M23" s="19">
        <f t="shared" si="20"/>
        <v>1907.9999999999991</v>
      </c>
      <c r="N23" s="18">
        <f t="shared" si="3"/>
        <v>119.24999999999994</v>
      </c>
      <c r="O23" s="20">
        <f t="shared" si="4"/>
        <v>0</v>
      </c>
      <c r="P23" s="21">
        <f t="shared" si="5"/>
        <v>-5.7500000000000568</v>
      </c>
      <c r="Q23" s="467">
        <f t="shared" si="6"/>
        <v>0.95399999999999952</v>
      </c>
      <c r="R23" s="573"/>
      <c r="S23" s="49">
        <v>0.34444444444444439</v>
      </c>
      <c r="T23" s="49">
        <v>0.38611111111111107</v>
      </c>
      <c r="U23" s="468">
        <f t="shared" si="22"/>
        <v>7.9999999999999716</v>
      </c>
      <c r="V23" s="470">
        <f t="shared" si="21"/>
        <v>60.000000000000028</v>
      </c>
      <c r="W23" s="25"/>
      <c r="X23" s="468"/>
      <c r="Y23" s="468"/>
      <c r="Z23" s="468"/>
      <c r="AA23" s="575"/>
      <c r="AB23" s="575"/>
      <c r="AC23" s="50"/>
      <c r="AD23" s="27"/>
      <c r="AE23" s="20">
        <f t="shared" si="8"/>
        <v>-92.000000000000909</v>
      </c>
      <c r="AF23" s="467">
        <f t="shared" si="9"/>
        <v>0.95399999999999952</v>
      </c>
      <c r="AG23" s="573"/>
    </row>
    <row r="24" spans="1:33" ht="15.75" customHeight="1">
      <c r="A24" s="597" t="s">
        <v>53</v>
      </c>
      <c r="B24" s="39" t="s">
        <v>74</v>
      </c>
      <c r="C24" s="594" t="s">
        <v>92</v>
      </c>
      <c r="D24" s="594"/>
      <c r="E24" s="39">
        <v>50.49</v>
      </c>
      <c r="F24" s="472">
        <v>1906</v>
      </c>
      <c r="G24" s="468">
        <f t="shared" si="19"/>
        <v>96233.94</v>
      </c>
      <c r="H24" s="48" t="s">
        <v>126</v>
      </c>
      <c r="I24" s="469">
        <v>15</v>
      </c>
      <c r="J24" s="43">
        <v>2000</v>
      </c>
      <c r="K24" s="18">
        <f t="shared" si="1"/>
        <v>133.33333333333334</v>
      </c>
      <c r="L24" s="469">
        <v>15</v>
      </c>
      <c r="M24" s="19">
        <f t="shared" si="20"/>
        <v>1906.0000000000018</v>
      </c>
      <c r="N24" s="18">
        <f t="shared" si="3"/>
        <v>127.06666666666679</v>
      </c>
      <c r="O24" s="20">
        <f t="shared" si="4"/>
        <v>0</v>
      </c>
      <c r="P24" s="21">
        <f t="shared" si="5"/>
        <v>-6.266666666666552</v>
      </c>
      <c r="Q24" s="467">
        <f t="shared" si="6"/>
        <v>0.95300000000000085</v>
      </c>
      <c r="R24" s="573"/>
      <c r="S24" s="49">
        <v>0.70833333333333337</v>
      </c>
      <c r="T24" s="49">
        <v>0.75</v>
      </c>
      <c r="U24" s="468" t="str">
        <f t="shared" si="22"/>
        <v/>
      </c>
      <c r="V24" s="470">
        <f t="shared" si="21"/>
        <v>59.999999999999943</v>
      </c>
      <c r="W24" s="25"/>
      <c r="X24" s="25"/>
      <c r="Y24" s="468"/>
      <c r="Z24" s="468"/>
      <c r="AA24" s="575"/>
      <c r="AB24" s="575"/>
      <c r="AC24" s="50"/>
      <c r="AD24" s="27"/>
      <c r="AE24" s="20">
        <f t="shared" si="8"/>
        <v>-93.999999999998181</v>
      </c>
      <c r="AF24" s="467">
        <f t="shared" si="9"/>
        <v>0.95300000000000096</v>
      </c>
      <c r="AG24" s="573"/>
    </row>
    <row r="25" spans="1:33" ht="15.75" customHeight="1">
      <c r="A25" s="597" t="s">
        <v>2930</v>
      </c>
      <c r="B25" s="39" t="s">
        <v>74</v>
      </c>
      <c r="C25" s="594" t="s">
        <v>2524</v>
      </c>
      <c r="D25" s="594"/>
      <c r="E25" s="39">
        <v>56.43</v>
      </c>
      <c r="F25" s="472">
        <v>1231</v>
      </c>
      <c r="G25" s="468">
        <f t="shared" si="19"/>
        <v>69465.33</v>
      </c>
      <c r="H25" s="48" t="s">
        <v>126</v>
      </c>
      <c r="I25" s="469">
        <v>13</v>
      </c>
      <c r="J25" s="43">
        <v>2000</v>
      </c>
      <c r="K25" s="18">
        <f t="shared" si="1"/>
        <v>153.84615384615384</v>
      </c>
      <c r="L25" s="469">
        <v>13</v>
      </c>
      <c r="M25" s="19">
        <f t="shared" si="20"/>
        <v>1943.6842105263142</v>
      </c>
      <c r="N25" s="18">
        <f t="shared" si="3"/>
        <v>149.51417004048571</v>
      </c>
      <c r="O25" s="20">
        <f t="shared" si="4"/>
        <v>0</v>
      </c>
      <c r="P25" s="21">
        <f t="shared" si="5"/>
        <v>-4.3319838056681306</v>
      </c>
      <c r="Q25" s="467">
        <f t="shared" si="6"/>
        <v>0.97184210526315717</v>
      </c>
      <c r="R25" s="573"/>
      <c r="S25" s="49">
        <v>0.75347222222222221</v>
      </c>
      <c r="T25" s="49">
        <v>0.77986111111111112</v>
      </c>
      <c r="U25" s="468">
        <f t="shared" si="22"/>
        <v>4.9999999999999822</v>
      </c>
      <c r="V25" s="470">
        <f t="shared" si="21"/>
        <v>38.000000000000028</v>
      </c>
      <c r="W25" s="25"/>
      <c r="X25" s="30"/>
      <c r="Y25" s="30"/>
      <c r="Z25" s="30"/>
      <c r="AA25" s="575"/>
      <c r="AB25" s="575"/>
      <c r="AC25" s="50"/>
      <c r="AD25" s="27"/>
      <c r="AE25" s="20">
        <f t="shared" si="8"/>
        <v>-56.315789473685754</v>
      </c>
      <c r="AF25" s="467">
        <f t="shared" si="9"/>
        <v>0.97184210526315717</v>
      </c>
      <c r="AG25" s="573"/>
    </row>
    <row r="26" spans="1:33" ht="15.75" customHeight="1">
      <c r="A26" s="597" t="s">
        <v>2929</v>
      </c>
      <c r="B26" s="39" t="s">
        <v>2927</v>
      </c>
      <c r="C26" s="576"/>
      <c r="D26" s="576"/>
      <c r="E26" s="473"/>
      <c r="F26" s="472"/>
      <c r="G26" s="468"/>
      <c r="H26" s="472"/>
      <c r="I26" s="32">
        <v>15.333333333333334</v>
      </c>
      <c r="J26" s="43">
        <v>1916.6666666666667</v>
      </c>
      <c r="K26" s="18">
        <f t="shared" si="1"/>
        <v>125</v>
      </c>
      <c r="L26" s="32">
        <v>15.333333333333334</v>
      </c>
      <c r="M26" s="19">
        <f>AVERAGE(M20:M25)</f>
        <v>1840.3519727897647</v>
      </c>
      <c r="N26" s="18">
        <f t="shared" si="3"/>
        <v>120.02295474715856</v>
      </c>
      <c r="O26" s="20">
        <f t="shared" si="4"/>
        <v>0</v>
      </c>
      <c r="P26" s="21">
        <f t="shared" si="5"/>
        <v>-4.9770452528414353</v>
      </c>
      <c r="Q26" s="467">
        <f t="shared" si="6"/>
        <v>0.96018363797726847</v>
      </c>
      <c r="R26" s="573"/>
      <c r="S26" s="49"/>
      <c r="T26" s="49"/>
      <c r="U26" s="18"/>
      <c r="V26" s="470"/>
      <c r="W26" s="18"/>
      <c r="X26" s="18"/>
      <c r="Y26" s="33">
        <f>SUM(Y20:Y25)</f>
        <v>0</v>
      </c>
      <c r="Z26" s="33">
        <f>SUM(Z20:Z25)</f>
        <v>0</v>
      </c>
      <c r="AA26" s="572"/>
      <c r="AB26" s="572"/>
      <c r="AC26" s="33">
        <v>6</v>
      </c>
      <c r="AD26" s="33">
        <f>SUM(AD20:AD25)</f>
        <v>0</v>
      </c>
      <c r="AE26" s="20">
        <f t="shared" si="8"/>
        <v>-76.314693876902084</v>
      </c>
      <c r="AF26" s="467">
        <f t="shared" si="9"/>
        <v>0.96018363797726847</v>
      </c>
      <c r="AG26" s="573"/>
    </row>
    <row r="27" spans="1:33" ht="15.75" customHeight="1">
      <c r="A27" s="595" t="s">
        <v>56</v>
      </c>
      <c r="B27" s="39" t="s">
        <v>94</v>
      </c>
      <c r="C27" s="594" t="s">
        <v>95</v>
      </c>
      <c r="D27" s="594"/>
      <c r="E27" s="39">
        <v>31.29</v>
      </c>
      <c r="F27" s="472">
        <v>6000</v>
      </c>
      <c r="G27" s="468">
        <f t="shared" ref="G27:G32" si="23">E27*F27</f>
        <v>187740</v>
      </c>
      <c r="H27" s="48">
        <v>2</v>
      </c>
      <c r="I27" s="469">
        <v>18</v>
      </c>
      <c r="J27" s="43">
        <v>2400</v>
      </c>
      <c r="K27" s="18">
        <f t="shared" si="1"/>
        <v>133.33333333333334</v>
      </c>
      <c r="L27" s="469">
        <v>18</v>
      </c>
      <c r="M27" s="19">
        <f t="shared" ref="M27:M32" si="24">F27/V27*60</f>
        <v>2292.993630573249</v>
      </c>
      <c r="N27" s="18">
        <f t="shared" si="3"/>
        <v>127.38853503184717</v>
      </c>
      <c r="O27" s="20">
        <f t="shared" si="4"/>
        <v>0</v>
      </c>
      <c r="P27" s="21">
        <f t="shared" si="5"/>
        <v>-5.9447983014861734</v>
      </c>
      <c r="Q27" s="467">
        <f t="shared" si="6"/>
        <v>0.95541401273885374</v>
      </c>
      <c r="R27" s="573">
        <f>Q33</f>
        <v>0.95725642142844536</v>
      </c>
      <c r="S27" s="49">
        <v>8.3333333333333329E-2</v>
      </c>
      <c r="T27" s="49">
        <v>0.19236111111111109</v>
      </c>
      <c r="U27" s="468"/>
      <c r="V27" s="470">
        <f t="shared" ref="V27:V32" si="25">(T27-S27)*24*60</f>
        <v>156.99999999999997</v>
      </c>
      <c r="W27" s="25">
        <f>T27</f>
        <v>0.19236111111111109</v>
      </c>
      <c r="X27" s="25">
        <f>S28</f>
        <v>0.21249999999999999</v>
      </c>
      <c r="Y27" s="25"/>
      <c r="Z27" s="25"/>
      <c r="AA27" s="575"/>
      <c r="AB27" s="575"/>
      <c r="AC27" s="50">
        <v>6</v>
      </c>
      <c r="AD27" s="27"/>
      <c r="AE27" s="20">
        <f t="shared" si="8"/>
        <v>-107.00636942675101</v>
      </c>
      <c r="AF27" s="467">
        <f t="shared" si="9"/>
        <v>0.95541401273885374</v>
      </c>
      <c r="AG27" s="573">
        <f>AF33</f>
        <v>0.95725642142844547</v>
      </c>
    </row>
    <row r="28" spans="1:33" ht="15.75" customHeight="1">
      <c r="A28" s="595" t="s">
        <v>2931</v>
      </c>
      <c r="B28" s="39" t="s">
        <v>94</v>
      </c>
      <c r="C28" s="594" t="s">
        <v>97</v>
      </c>
      <c r="D28" s="594"/>
      <c r="E28" s="39">
        <v>26.37</v>
      </c>
      <c r="F28" s="472">
        <v>5871</v>
      </c>
      <c r="G28" s="468">
        <f t="shared" si="23"/>
        <v>154818.27000000002</v>
      </c>
      <c r="H28" s="48" t="s">
        <v>126</v>
      </c>
      <c r="I28" s="469">
        <v>18</v>
      </c>
      <c r="J28" s="43">
        <v>2400</v>
      </c>
      <c r="K28" s="18">
        <f t="shared" si="1"/>
        <v>133.33333333333334</v>
      </c>
      <c r="L28" s="469">
        <v>18</v>
      </c>
      <c r="M28" s="19">
        <f t="shared" si="24"/>
        <v>2287.4025974025972</v>
      </c>
      <c r="N28" s="18">
        <f t="shared" si="3"/>
        <v>127.07792207792207</v>
      </c>
      <c r="O28" s="20">
        <f t="shared" si="4"/>
        <v>0</v>
      </c>
      <c r="P28" s="21">
        <f t="shared" si="5"/>
        <v>-6.2554112554112749</v>
      </c>
      <c r="Q28" s="467">
        <f t="shared" si="6"/>
        <v>0.95308441558441548</v>
      </c>
      <c r="R28" s="573"/>
      <c r="S28" s="49">
        <v>0.21249999999999999</v>
      </c>
      <c r="T28" s="49">
        <v>0.31944444444444442</v>
      </c>
      <c r="U28" s="468">
        <f t="shared" ref="U28:U32" si="26">(S28-T27)*24*60</f>
        <v>29.000000000000018</v>
      </c>
      <c r="V28" s="470">
        <f t="shared" si="25"/>
        <v>154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-112.59740259740283</v>
      </c>
      <c r="AF28" s="467">
        <f t="shared" si="9"/>
        <v>0.95308441558441548</v>
      </c>
      <c r="AG28" s="573"/>
    </row>
    <row r="29" spans="1:33" ht="15.75" customHeight="1">
      <c r="A29" s="595" t="s">
        <v>2931</v>
      </c>
      <c r="B29" s="39" t="s">
        <v>94</v>
      </c>
      <c r="C29" s="594" t="s">
        <v>529</v>
      </c>
      <c r="D29" s="594"/>
      <c r="E29" s="39">
        <v>26.18</v>
      </c>
      <c r="F29" s="472">
        <v>4100</v>
      </c>
      <c r="G29" s="468">
        <f t="shared" si="23"/>
        <v>107338</v>
      </c>
      <c r="H29" s="48">
        <v>2</v>
      </c>
      <c r="I29" s="469">
        <v>18</v>
      </c>
      <c r="J29" s="43">
        <v>2400</v>
      </c>
      <c r="K29" s="18">
        <f t="shared" si="1"/>
        <v>133.33333333333334</v>
      </c>
      <c r="L29" s="469">
        <v>18</v>
      </c>
      <c r="M29" s="19">
        <f t="shared" si="24"/>
        <v>2299.0654205607475</v>
      </c>
      <c r="N29" s="18">
        <f t="shared" si="3"/>
        <v>127.72585669781931</v>
      </c>
      <c r="O29" s="20">
        <f t="shared" si="4"/>
        <v>0</v>
      </c>
      <c r="P29" s="21">
        <f t="shared" si="5"/>
        <v>-5.6074766355140326</v>
      </c>
      <c r="Q29" s="467">
        <f t="shared" si="6"/>
        <v>0.9579439252336448</v>
      </c>
      <c r="R29" s="573"/>
      <c r="S29" s="49">
        <v>0.32499999999999996</v>
      </c>
      <c r="T29" s="49">
        <v>0.39930555555555552</v>
      </c>
      <c r="U29" s="468">
        <f t="shared" si="26"/>
        <v>7.9999999999999716</v>
      </c>
      <c r="V29" s="470">
        <f t="shared" si="25"/>
        <v>107.00000000000001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-100.9345794392525</v>
      </c>
      <c r="AF29" s="467">
        <f t="shared" si="9"/>
        <v>0.9579439252336448</v>
      </c>
      <c r="AG29" s="573"/>
    </row>
    <row r="30" spans="1:33" ht="15.75" customHeight="1">
      <c r="A30" s="595" t="s">
        <v>2931</v>
      </c>
      <c r="B30" s="39" t="s">
        <v>94</v>
      </c>
      <c r="C30" s="594" t="s">
        <v>98</v>
      </c>
      <c r="D30" s="594"/>
      <c r="E30" s="39">
        <v>25.99</v>
      </c>
      <c r="F30" s="472">
        <v>3516</v>
      </c>
      <c r="G30" s="468">
        <f t="shared" si="23"/>
        <v>91380.84</v>
      </c>
      <c r="H30" s="48" t="s">
        <v>126</v>
      </c>
      <c r="I30" s="469">
        <v>14</v>
      </c>
      <c r="J30" s="43">
        <v>2400</v>
      </c>
      <c r="K30" s="18">
        <f t="shared" si="1"/>
        <v>171.42857142857142</v>
      </c>
      <c r="L30" s="469">
        <v>14</v>
      </c>
      <c r="M30" s="19">
        <f t="shared" si="24"/>
        <v>2293.0434782608695</v>
      </c>
      <c r="N30" s="18">
        <f t="shared" si="3"/>
        <v>163.7888198757764</v>
      </c>
      <c r="O30" s="20">
        <f t="shared" si="4"/>
        <v>0</v>
      </c>
      <c r="P30" s="21">
        <f t="shared" si="5"/>
        <v>-7.6397515527950191</v>
      </c>
      <c r="Q30" s="467">
        <f t="shared" si="6"/>
        <v>0.95543478260869574</v>
      </c>
      <c r="R30" s="573"/>
      <c r="S30" s="49">
        <v>0.40347222222222218</v>
      </c>
      <c r="T30" s="49">
        <v>0.46736111111111106</v>
      </c>
      <c r="U30" s="468">
        <f t="shared" si="26"/>
        <v>5.9999999999999787</v>
      </c>
      <c r="V30" s="470">
        <f t="shared" si="25"/>
        <v>92</v>
      </c>
      <c r="W30" s="25">
        <f>T30</f>
        <v>0.46736111111111106</v>
      </c>
      <c r="X30" s="25">
        <f>S31</f>
        <v>0.5083333333333333</v>
      </c>
      <c r="Y30" s="25"/>
      <c r="Z30" s="25"/>
      <c r="AA30" s="575"/>
      <c r="AB30" s="575"/>
      <c r="AC30" s="50"/>
      <c r="AD30" s="27"/>
      <c r="AE30" s="20">
        <f t="shared" si="8"/>
        <v>-106.95652173913049</v>
      </c>
      <c r="AF30" s="467">
        <f t="shared" si="9"/>
        <v>0.95543478260869563</v>
      </c>
      <c r="AG30" s="573"/>
    </row>
    <row r="31" spans="1:33" ht="15.75" customHeight="1">
      <c r="A31" s="595" t="s">
        <v>2931</v>
      </c>
      <c r="B31" s="39" t="s">
        <v>94</v>
      </c>
      <c r="C31" s="594" t="s">
        <v>95</v>
      </c>
      <c r="D31" s="594"/>
      <c r="E31" s="39">
        <v>31.29</v>
      </c>
      <c r="F31" s="472">
        <v>2313</v>
      </c>
      <c r="G31" s="468">
        <f t="shared" si="23"/>
        <v>72373.77</v>
      </c>
      <c r="H31" s="48" t="s">
        <v>126</v>
      </c>
      <c r="I31" s="469">
        <v>18</v>
      </c>
      <c r="J31" s="43">
        <v>2400</v>
      </c>
      <c r="K31" s="18">
        <f t="shared" si="1"/>
        <v>133.33333333333334</v>
      </c>
      <c r="L31" s="469">
        <v>18</v>
      </c>
      <c r="M31" s="19">
        <f t="shared" si="24"/>
        <v>2313.0000000000023</v>
      </c>
      <c r="N31" s="18">
        <f t="shared" si="3"/>
        <v>128.50000000000011</v>
      </c>
      <c r="O31" s="20">
        <f t="shared" si="4"/>
        <v>0</v>
      </c>
      <c r="P31" s="21">
        <f t="shared" si="5"/>
        <v>-4.8333333333332291</v>
      </c>
      <c r="Q31" s="467">
        <f t="shared" si="6"/>
        <v>0.96375000000000077</v>
      </c>
      <c r="R31" s="573"/>
      <c r="S31" s="49">
        <v>0.5083333333333333</v>
      </c>
      <c r="T31" s="49">
        <v>0.54999999999999993</v>
      </c>
      <c r="U31" s="468">
        <f t="shared" si="26"/>
        <v>59.000000000000028</v>
      </c>
      <c r="V31" s="470">
        <f t="shared" si="25"/>
        <v>59.999999999999943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-86.999999999997726</v>
      </c>
      <c r="AF31" s="467">
        <f t="shared" si="9"/>
        <v>0.96375000000000099</v>
      </c>
      <c r="AG31" s="573"/>
    </row>
    <row r="32" spans="1:33" ht="15.75" customHeight="1">
      <c r="A32" s="595" t="s">
        <v>2931</v>
      </c>
      <c r="B32" s="39" t="s">
        <v>94</v>
      </c>
      <c r="C32" s="594" t="s">
        <v>529</v>
      </c>
      <c r="D32" s="594"/>
      <c r="E32" s="39">
        <v>26.18</v>
      </c>
      <c r="F32" s="472">
        <v>3027</v>
      </c>
      <c r="G32" s="468">
        <f t="shared" si="23"/>
        <v>79246.86</v>
      </c>
      <c r="H32" s="48" t="s">
        <v>126</v>
      </c>
      <c r="I32" s="469">
        <v>18</v>
      </c>
      <c r="J32" s="43">
        <v>2400</v>
      </c>
      <c r="K32" s="18">
        <f t="shared" si="1"/>
        <v>133.33333333333334</v>
      </c>
      <c r="L32" s="469">
        <v>18</v>
      </c>
      <c r="M32" s="19">
        <f t="shared" si="24"/>
        <v>2298.9873417721506</v>
      </c>
      <c r="N32" s="18">
        <f t="shared" si="3"/>
        <v>127.7215189873417</v>
      </c>
      <c r="O32" s="20">
        <f t="shared" si="4"/>
        <v>0</v>
      </c>
      <c r="P32" s="21">
        <f t="shared" si="5"/>
        <v>-5.6118143459916467</v>
      </c>
      <c r="Q32" s="467">
        <f t="shared" si="6"/>
        <v>0.95791139240506262</v>
      </c>
      <c r="R32" s="573"/>
      <c r="S32" s="49">
        <v>0.55555555555555547</v>
      </c>
      <c r="T32" s="49">
        <v>0.61041666666666661</v>
      </c>
      <c r="U32" s="468">
        <f t="shared" si="26"/>
        <v>7.9999999999999716</v>
      </c>
      <c r="V32" s="470">
        <f t="shared" si="25"/>
        <v>79.000000000000043</v>
      </c>
      <c r="W32" s="25"/>
      <c r="X32" s="25"/>
      <c r="Y32" s="25"/>
      <c r="Z32" s="25"/>
      <c r="AA32" s="575"/>
      <c r="AB32" s="575"/>
      <c r="AC32" s="50"/>
      <c r="AD32" s="27"/>
      <c r="AE32" s="20">
        <f t="shared" si="8"/>
        <v>-101.01265822784944</v>
      </c>
      <c r="AF32" s="467">
        <f t="shared" si="9"/>
        <v>0.95791139240506273</v>
      </c>
      <c r="AG32" s="573"/>
    </row>
    <row r="33" spans="1:33" ht="15.75" customHeight="1">
      <c r="A33" s="595" t="s">
        <v>2931</v>
      </c>
      <c r="B33" s="39" t="s">
        <v>2932</v>
      </c>
      <c r="C33" s="576"/>
      <c r="D33" s="576"/>
      <c r="E33" s="473"/>
      <c r="F33" s="472"/>
      <c r="G33" s="468"/>
      <c r="H33" s="472"/>
      <c r="I33" s="32">
        <v>17.333333333333332</v>
      </c>
      <c r="J33" s="43">
        <v>2400</v>
      </c>
      <c r="K33" s="18">
        <f t="shared" si="1"/>
        <v>138.46153846153848</v>
      </c>
      <c r="L33" s="32">
        <v>17.333333333333332</v>
      </c>
      <c r="M33" s="19">
        <f>AVERAGE(M27:M32)</f>
        <v>2297.4154114282692</v>
      </c>
      <c r="N33" s="18">
        <f t="shared" si="3"/>
        <v>132.54319681316937</v>
      </c>
      <c r="O33" s="20">
        <f t="shared" si="4"/>
        <v>0</v>
      </c>
      <c r="P33" s="21">
        <f t="shared" si="5"/>
        <v>-5.9183416483691076</v>
      </c>
      <c r="Q33" s="467">
        <f t="shared" si="6"/>
        <v>0.95725642142844536</v>
      </c>
      <c r="R33" s="573"/>
      <c r="S33" s="49"/>
      <c r="T33" s="49"/>
      <c r="U33" s="468"/>
      <c r="V33" s="470"/>
      <c r="W33" s="468"/>
      <c r="X33" s="468"/>
      <c r="Y33" s="33">
        <f>SUM(Y27:Y32)</f>
        <v>0</v>
      </c>
      <c r="Z33" s="33">
        <f>SUM(Z27:Z32)</f>
        <v>0</v>
      </c>
      <c r="AA33" s="572"/>
      <c r="AB33" s="572"/>
      <c r="AC33" s="33">
        <v>6</v>
      </c>
      <c r="AD33" s="33">
        <f>SUM(AD27:AD32)</f>
        <v>0</v>
      </c>
      <c r="AE33" s="20">
        <f t="shared" si="8"/>
        <v>-102.58458857173082</v>
      </c>
      <c r="AF33" s="467">
        <f t="shared" si="9"/>
        <v>0.95725642142844547</v>
      </c>
      <c r="AG33" s="573"/>
    </row>
    <row r="34" spans="1:33" ht="15.75" customHeight="1">
      <c r="A34" s="592" t="s">
        <v>2933</v>
      </c>
      <c r="B34" s="39" t="s">
        <v>94</v>
      </c>
      <c r="C34" s="574" t="s">
        <v>530</v>
      </c>
      <c r="D34" s="574"/>
      <c r="E34" s="39">
        <v>26.18</v>
      </c>
      <c r="F34" s="472">
        <v>3500</v>
      </c>
      <c r="G34" s="468">
        <f t="shared" ref="G34:G40" si="27">E34*F34</f>
        <v>91630</v>
      </c>
      <c r="H34" s="48">
        <v>2</v>
      </c>
      <c r="I34" s="469">
        <v>20</v>
      </c>
      <c r="J34" s="43">
        <v>2400</v>
      </c>
      <c r="K34" s="18">
        <f t="shared" si="1"/>
        <v>120</v>
      </c>
      <c r="L34" s="469">
        <v>20</v>
      </c>
      <c r="M34" s="19">
        <f t="shared" ref="M34:M40" si="28">F34/V34*60</f>
        <v>2307.6923076923085</v>
      </c>
      <c r="N34" s="18">
        <f t="shared" si="3"/>
        <v>115.38461538461543</v>
      </c>
      <c r="O34" s="20">
        <f t="shared" si="4"/>
        <v>0</v>
      </c>
      <c r="P34" s="21">
        <f t="shared" si="5"/>
        <v>-4.6153846153845706</v>
      </c>
      <c r="Q34" s="467">
        <f t="shared" si="6"/>
        <v>0.9615384615384619</v>
      </c>
      <c r="R34" s="573">
        <f>Q41</f>
        <v>0.95463846645089911</v>
      </c>
      <c r="S34" s="49">
        <v>8.3333333333333329E-2</v>
      </c>
      <c r="T34" s="49">
        <v>0.14652777777777776</v>
      </c>
      <c r="U34" s="468"/>
      <c r="V34" s="470">
        <f t="shared" ref="V34:V40" si="29">(T34-S34)*24*60</f>
        <v>90.999999999999972</v>
      </c>
      <c r="W34" s="30">
        <f>T34</f>
        <v>0.14652777777777776</v>
      </c>
      <c r="X34" s="30">
        <f>S35</f>
        <v>0.1645833333333333</v>
      </c>
      <c r="Y34" s="30"/>
      <c r="Z34" s="30"/>
      <c r="AA34" s="575"/>
      <c r="AB34" s="575"/>
      <c r="AC34" s="50">
        <v>7</v>
      </c>
      <c r="AD34" s="27"/>
      <c r="AE34" s="20">
        <f t="shared" si="8"/>
        <v>-92.307692307691468</v>
      </c>
      <c r="AF34" s="467">
        <f t="shared" si="9"/>
        <v>0.9615384615384619</v>
      </c>
      <c r="AG34" s="573">
        <f>AF41</f>
        <v>0.954638466450899</v>
      </c>
    </row>
    <row r="35" spans="1:33" ht="15.75" customHeight="1">
      <c r="A35" s="592" t="s">
        <v>59</v>
      </c>
      <c r="B35" s="39" t="s">
        <v>94</v>
      </c>
      <c r="C35" s="574" t="s">
        <v>100</v>
      </c>
      <c r="D35" s="574"/>
      <c r="E35" s="39">
        <v>24.43</v>
      </c>
      <c r="F35" s="472">
        <v>5858</v>
      </c>
      <c r="G35" s="468">
        <f t="shared" si="27"/>
        <v>143110.94</v>
      </c>
      <c r="H35" s="48" t="s">
        <v>126</v>
      </c>
      <c r="I35" s="469">
        <v>14</v>
      </c>
      <c r="J35" s="43">
        <v>2400</v>
      </c>
      <c r="K35" s="18">
        <f t="shared" si="1"/>
        <v>171.42857142857142</v>
      </c>
      <c r="L35" s="469">
        <v>14</v>
      </c>
      <c r="M35" s="19">
        <f t="shared" si="28"/>
        <v>2282.3376623376626</v>
      </c>
      <c r="N35" s="18">
        <f t="shared" si="3"/>
        <v>163.02411873840447</v>
      </c>
      <c r="O35" s="20">
        <f t="shared" si="4"/>
        <v>0</v>
      </c>
      <c r="P35" s="21">
        <f t="shared" si="5"/>
        <v>-8.4044526901669485</v>
      </c>
      <c r="Q35" s="467">
        <f t="shared" si="6"/>
        <v>0.95097402597402614</v>
      </c>
      <c r="R35" s="573"/>
      <c r="S35" s="49">
        <v>0.1645833333333333</v>
      </c>
      <c r="T35" s="49">
        <v>0.27152777777777776</v>
      </c>
      <c r="U35" s="468">
        <f t="shared" ref="U35:U40" si="30">(S35-T34)*24*60</f>
        <v>25.999999999999986</v>
      </c>
      <c r="V35" s="470">
        <f t="shared" si="29"/>
        <v>154</v>
      </c>
      <c r="W35" s="468"/>
      <c r="X35" s="468"/>
      <c r="Y35" s="468"/>
      <c r="Z35" s="468"/>
      <c r="AA35" s="575"/>
      <c r="AB35" s="575"/>
      <c r="AC35" s="50"/>
      <c r="AD35" s="27"/>
      <c r="AE35" s="20">
        <f t="shared" si="8"/>
        <v>-117.66233766233745</v>
      </c>
      <c r="AF35" s="467">
        <f t="shared" si="9"/>
        <v>0.95097402597402603</v>
      </c>
      <c r="AG35" s="573"/>
    </row>
    <row r="36" spans="1:33">
      <c r="A36" s="593" t="s">
        <v>59</v>
      </c>
      <c r="B36" s="39" t="s">
        <v>94</v>
      </c>
      <c r="C36" s="574" t="s">
        <v>102</v>
      </c>
      <c r="D36" s="574"/>
      <c r="E36" s="39">
        <v>34.1</v>
      </c>
      <c r="F36" s="472">
        <v>3400</v>
      </c>
      <c r="G36" s="468">
        <f t="shared" si="27"/>
        <v>115940</v>
      </c>
      <c r="H36" s="48">
        <v>2</v>
      </c>
      <c r="I36" s="469">
        <v>17</v>
      </c>
      <c r="J36" s="43">
        <v>1600</v>
      </c>
      <c r="K36" s="18">
        <f t="shared" si="1"/>
        <v>94.117647058823536</v>
      </c>
      <c r="L36" s="469">
        <v>17</v>
      </c>
      <c r="M36" s="19">
        <f t="shared" si="28"/>
        <v>1533.8345864661655</v>
      </c>
      <c r="N36" s="18">
        <f t="shared" si="3"/>
        <v>90.225563909774451</v>
      </c>
      <c r="O36" s="20">
        <f t="shared" si="4"/>
        <v>0</v>
      </c>
      <c r="P36" s="21">
        <f t="shared" si="5"/>
        <v>-3.8920831490490855</v>
      </c>
      <c r="Q36" s="467">
        <f t="shared" si="6"/>
        <v>0.95864661654135352</v>
      </c>
      <c r="R36" s="573"/>
      <c r="S36" s="49">
        <v>0.27708333333333329</v>
      </c>
      <c r="T36" s="49">
        <v>0.36944444444444441</v>
      </c>
      <c r="U36" s="468">
        <f t="shared" si="30"/>
        <v>7.9999999999999716</v>
      </c>
      <c r="V36" s="470">
        <f t="shared" si="29"/>
        <v>133</v>
      </c>
      <c r="W36" s="468"/>
      <c r="X36" s="468"/>
      <c r="Y36" s="468"/>
      <c r="Z36" s="468"/>
      <c r="AA36" s="575"/>
      <c r="AB36" s="575"/>
      <c r="AC36" s="50"/>
      <c r="AD36" s="27"/>
      <c r="AE36" s="20">
        <f t="shared" si="8"/>
        <v>-66.165413533834453</v>
      </c>
      <c r="AF36" s="467">
        <f t="shared" si="9"/>
        <v>0.95864661654135341</v>
      </c>
      <c r="AG36" s="573"/>
    </row>
    <row r="37" spans="1:33">
      <c r="A37" s="593" t="s">
        <v>59</v>
      </c>
      <c r="B37" s="39" t="s">
        <v>94</v>
      </c>
      <c r="C37" s="574" t="s">
        <v>101</v>
      </c>
      <c r="D37" s="574"/>
      <c r="E37" s="39">
        <v>25.98</v>
      </c>
      <c r="F37" s="472">
        <v>2571</v>
      </c>
      <c r="G37" s="468">
        <f t="shared" si="27"/>
        <v>66794.58</v>
      </c>
      <c r="H37" s="48" t="s">
        <v>126</v>
      </c>
      <c r="I37" s="469">
        <v>19</v>
      </c>
      <c r="J37" s="43">
        <v>2400</v>
      </c>
      <c r="K37" s="18">
        <f t="shared" si="1"/>
        <v>126.31578947368421</v>
      </c>
      <c r="L37" s="469">
        <v>19</v>
      </c>
      <c r="M37" s="19">
        <f t="shared" si="28"/>
        <v>2302.3880597014927</v>
      </c>
      <c r="N37" s="18">
        <f t="shared" si="3"/>
        <v>121.17831893165751</v>
      </c>
      <c r="O37" s="20">
        <f t="shared" si="4"/>
        <v>0</v>
      </c>
      <c r="P37" s="21">
        <f t="shared" si="5"/>
        <v>-5.1374705420266906</v>
      </c>
      <c r="Q37" s="467">
        <f t="shared" si="6"/>
        <v>0.95932835820895535</v>
      </c>
      <c r="R37" s="573"/>
      <c r="S37" s="49">
        <v>0.37361111111111106</v>
      </c>
      <c r="T37" s="49">
        <v>0.42013888888888884</v>
      </c>
      <c r="U37" s="468">
        <f t="shared" si="30"/>
        <v>5.9999999999999787</v>
      </c>
      <c r="V37" s="470">
        <f t="shared" si="29"/>
        <v>67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8"/>
        <v>-97.611940298507307</v>
      </c>
      <c r="AF37" s="467">
        <f t="shared" si="9"/>
        <v>0.95932835820895523</v>
      </c>
      <c r="AG37" s="573"/>
    </row>
    <row r="38" spans="1:33">
      <c r="A38" s="593" t="s">
        <v>59</v>
      </c>
      <c r="B38" s="39" t="s">
        <v>94</v>
      </c>
      <c r="C38" s="574" t="s">
        <v>1231</v>
      </c>
      <c r="D38" s="574"/>
      <c r="E38" s="39">
        <v>25.99</v>
      </c>
      <c r="F38" s="472">
        <v>2817</v>
      </c>
      <c r="G38" s="468">
        <f t="shared" si="27"/>
        <v>73213.83</v>
      </c>
      <c r="H38" s="48" t="s">
        <v>126</v>
      </c>
      <c r="I38" s="469">
        <v>18</v>
      </c>
      <c r="J38" s="43">
        <v>2400</v>
      </c>
      <c r="K38" s="18">
        <f t="shared" si="1"/>
        <v>133.33333333333334</v>
      </c>
      <c r="L38" s="469">
        <v>18</v>
      </c>
      <c r="M38" s="19">
        <f t="shared" si="28"/>
        <v>2284.0540540540546</v>
      </c>
      <c r="N38" s="18">
        <f t="shared" si="3"/>
        <v>126.89189189189193</v>
      </c>
      <c r="O38" s="20">
        <f t="shared" si="4"/>
        <v>0</v>
      </c>
      <c r="P38" s="21">
        <f t="shared" si="5"/>
        <v>-6.4414414414414125</v>
      </c>
      <c r="Q38" s="467">
        <f t="shared" si="6"/>
        <v>0.95168918918918943</v>
      </c>
      <c r="R38" s="573"/>
      <c r="S38" s="49">
        <v>0.42499999999999993</v>
      </c>
      <c r="T38" s="49">
        <v>0.47638888888888881</v>
      </c>
      <c r="U38" s="468">
        <f t="shared" si="30"/>
        <v>6.9999999999999751</v>
      </c>
      <c r="V38" s="470">
        <f t="shared" si="29"/>
        <v>73.999999999999972</v>
      </c>
      <c r="W38" s="25">
        <f>T38</f>
        <v>0.47638888888888881</v>
      </c>
      <c r="X38" s="25">
        <f>S39</f>
        <v>0.51597222222222217</v>
      </c>
      <c r="Y38" s="25"/>
      <c r="Z38" s="25"/>
      <c r="AA38" s="575"/>
      <c r="AB38" s="575"/>
      <c r="AC38" s="50"/>
      <c r="AD38" s="27"/>
      <c r="AE38" s="20">
        <f t="shared" si="8"/>
        <v>-115.94594594594537</v>
      </c>
      <c r="AF38" s="467">
        <f t="shared" si="9"/>
        <v>0.95168918918918943</v>
      </c>
      <c r="AG38" s="573"/>
    </row>
    <row r="39" spans="1:33">
      <c r="A39" s="593" t="s">
        <v>59</v>
      </c>
      <c r="B39" s="39" t="s">
        <v>94</v>
      </c>
      <c r="C39" s="574" t="s">
        <v>102</v>
      </c>
      <c r="D39" s="574"/>
      <c r="E39" s="39">
        <v>34.1</v>
      </c>
      <c r="F39" s="472">
        <v>2559</v>
      </c>
      <c r="G39" s="468">
        <f t="shared" si="27"/>
        <v>87261.900000000009</v>
      </c>
      <c r="H39" s="48" t="s">
        <v>126</v>
      </c>
      <c r="I39" s="469">
        <v>17</v>
      </c>
      <c r="J39" s="43">
        <v>1600</v>
      </c>
      <c r="K39" s="18">
        <f t="shared" si="1"/>
        <v>94.117647058823536</v>
      </c>
      <c r="L39" s="469">
        <v>17</v>
      </c>
      <c r="M39" s="19">
        <f t="shared" si="28"/>
        <v>1520.1980198019808</v>
      </c>
      <c r="N39" s="18">
        <f t="shared" si="3"/>
        <v>89.423412929528283</v>
      </c>
      <c r="O39" s="20">
        <f t="shared" si="4"/>
        <v>0</v>
      </c>
      <c r="P39" s="21">
        <f t="shared" si="5"/>
        <v>-4.6942341292952534</v>
      </c>
      <c r="Q39" s="467">
        <f t="shared" si="6"/>
        <v>0.95012376237623797</v>
      </c>
      <c r="R39" s="573"/>
      <c r="S39" s="49">
        <v>0.51597222222222217</v>
      </c>
      <c r="T39" s="49">
        <v>0.58611111111111103</v>
      </c>
      <c r="U39" s="468">
        <f t="shared" si="30"/>
        <v>57.000000000000036</v>
      </c>
      <c r="V39" s="470">
        <f t="shared" si="29"/>
        <v>100.99999999999996</v>
      </c>
      <c r="W39" s="25"/>
      <c r="X39" s="25"/>
      <c r="Y39" s="25"/>
      <c r="Z39" s="25"/>
      <c r="AA39" s="575"/>
      <c r="AB39" s="575"/>
      <c r="AC39" s="50"/>
      <c r="AD39" s="27"/>
      <c r="AE39" s="20">
        <f t="shared" si="8"/>
        <v>-79.801980198019237</v>
      </c>
      <c r="AF39" s="467">
        <f t="shared" si="9"/>
        <v>0.95012376237623797</v>
      </c>
      <c r="AG39" s="573"/>
    </row>
    <row r="40" spans="1:33">
      <c r="A40" s="593" t="s">
        <v>59</v>
      </c>
      <c r="B40" s="39" t="s">
        <v>94</v>
      </c>
      <c r="C40" s="574" t="s">
        <v>530</v>
      </c>
      <c r="D40" s="574"/>
      <c r="E40" s="39">
        <v>26.18</v>
      </c>
      <c r="F40" s="472">
        <v>2356</v>
      </c>
      <c r="G40" s="468">
        <f t="shared" si="27"/>
        <v>61680.08</v>
      </c>
      <c r="H40" s="48" t="s">
        <v>126</v>
      </c>
      <c r="I40" s="469">
        <v>20</v>
      </c>
      <c r="J40" s="43">
        <v>2400</v>
      </c>
      <c r="K40" s="18">
        <f t="shared" si="1"/>
        <v>120</v>
      </c>
      <c r="L40" s="469">
        <v>20</v>
      </c>
      <c r="M40" s="19">
        <f t="shared" si="28"/>
        <v>2280.0000000000023</v>
      </c>
      <c r="N40" s="18">
        <f t="shared" si="3"/>
        <v>114.00000000000011</v>
      </c>
      <c r="O40" s="20">
        <f t="shared" si="4"/>
        <v>0</v>
      </c>
      <c r="P40" s="21">
        <f t="shared" si="5"/>
        <v>-5.9999999999998863</v>
      </c>
      <c r="Q40" s="467">
        <f t="shared" si="6"/>
        <v>0.95000000000000095</v>
      </c>
      <c r="R40" s="573"/>
      <c r="S40" s="49">
        <v>0.59027777777777768</v>
      </c>
      <c r="T40" s="49">
        <v>0.63333333333333319</v>
      </c>
      <c r="U40" s="468">
        <f t="shared" si="30"/>
        <v>5.9999999999999787</v>
      </c>
      <c r="V40" s="470">
        <f t="shared" si="29"/>
        <v>61.999999999999943</v>
      </c>
      <c r="W40" s="25"/>
      <c r="X40" s="25"/>
      <c r="Y40" s="28"/>
      <c r="Z40" s="28"/>
      <c r="AA40" s="568"/>
      <c r="AB40" s="569"/>
      <c r="AC40" s="50"/>
      <c r="AD40" s="27"/>
      <c r="AE40" s="20">
        <f t="shared" si="8"/>
        <v>-119.99999999999773</v>
      </c>
      <c r="AF40" s="467">
        <f t="shared" si="9"/>
        <v>0.95000000000000095</v>
      </c>
      <c r="AG40" s="573"/>
    </row>
    <row r="41" spans="1:33">
      <c r="A41" s="593" t="s">
        <v>2934</v>
      </c>
      <c r="B41" s="42" t="s">
        <v>46</v>
      </c>
      <c r="C41" s="576"/>
      <c r="D41" s="576"/>
      <c r="E41" s="473"/>
      <c r="F41" s="42"/>
      <c r="G41" s="18"/>
      <c r="H41" s="472"/>
      <c r="I41" s="32">
        <v>17.857142857142858</v>
      </c>
      <c r="J41" s="43">
        <v>2171.4285714285716</v>
      </c>
      <c r="K41" s="18">
        <f t="shared" si="1"/>
        <v>121.60000000000001</v>
      </c>
      <c r="L41" s="32">
        <v>17.857142857142858</v>
      </c>
      <c r="M41" s="19">
        <f>AVERAGE(M34:M40)</f>
        <v>2072.929241436238</v>
      </c>
      <c r="N41" s="18">
        <f t="shared" si="3"/>
        <v>116.08403752042933</v>
      </c>
      <c r="O41" s="20">
        <f t="shared" si="4"/>
        <v>0</v>
      </c>
      <c r="P41" s="21">
        <f t="shared" si="5"/>
        <v>-5.5159624795706748</v>
      </c>
      <c r="Q41" s="467">
        <f t="shared" si="6"/>
        <v>0.95463846645089911</v>
      </c>
      <c r="R41" s="573"/>
      <c r="S41" s="49"/>
      <c r="T41" s="49"/>
      <c r="U41" s="18"/>
      <c r="V41" s="470"/>
      <c r="W41" s="18"/>
      <c r="X41" s="18"/>
      <c r="Y41" s="33">
        <f>SUM(Y34:Y40)</f>
        <v>0</v>
      </c>
      <c r="Z41" s="33">
        <f>SUM(Z34:Z40)</f>
        <v>0</v>
      </c>
      <c r="AA41" s="572"/>
      <c r="AB41" s="572"/>
      <c r="AC41" s="33">
        <v>7</v>
      </c>
      <c r="AD41" s="33">
        <f>SUM(AD34:AD40)</f>
        <v>0</v>
      </c>
      <c r="AE41" s="20">
        <f t="shared" si="8"/>
        <v>-98.499329992333514</v>
      </c>
      <c r="AF41" s="467">
        <f t="shared" si="9"/>
        <v>0.954638466450899</v>
      </c>
      <c r="AG41" s="573"/>
    </row>
    <row r="42" spans="1:33" ht="15.75" customHeight="1">
      <c r="A42" s="589" t="s">
        <v>2935</v>
      </c>
      <c r="B42" s="39" t="s">
        <v>104</v>
      </c>
      <c r="C42" s="566" t="s">
        <v>105</v>
      </c>
      <c r="D42" s="567"/>
      <c r="E42" s="39">
        <v>37.880000000000003</v>
      </c>
      <c r="F42" s="472">
        <v>1216</v>
      </c>
      <c r="G42" s="468">
        <f t="shared" ref="G42:G45" si="31">E42*F42</f>
        <v>46062.080000000002</v>
      </c>
      <c r="H42" s="48" t="s">
        <v>126</v>
      </c>
      <c r="I42" s="469">
        <v>13</v>
      </c>
      <c r="J42" s="43">
        <v>2000</v>
      </c>
      <c r="K42" s="18">
        <f t="shared" si="1"/>
        <v>153.84615384615384</v>
      </c>
      <c r="L42" s="469">
        <v>13</v>
      </c>
      <c r="M42" s="19">
        <f t="shared" ref="M42:M45" si="32">F42/V42*60</f>
        <v>1919.9999999999995</v>
      </c>
      <c r="N42" s="19">
        <f t="shared" si="3"/>
        <v>147.69230769230765</v>
      </c>
      <c r="O42" s="20">
        <f t="shared" si="4"/>
        <v>0</v>
      </c>
      <c r="P42" s="21">
        <f t="shared" si="5"/>
        <v>-6.1538461538461888</v>
      </c>
      <c r="Q42" s="467">
        <f t="shared" si="6"/>
        <v>0.95999999999999974</v>
      </c>
      <c r="R42" s="584">
        <f>Q46</f>
        <v>0.95452702102076792</v>
      </c>
      <c r="S42" s="49">
        <v>8.3333333333333329E-2</v>
      </c>
      <c r="T42" s="49">
        <v>0.10972222222222222</v>
      </c>
      <c r="U42" s="30"/>
      <c r="V42" s="470">
        <f t="shared" ref="V42:V45" si="33">(T42-S42)*24*60</f>
        <v>38.000000000000007</v>
      </c>
      <c r="W42" s="25">
        <f>T42</f>
        <v>0.10972222222222222</v>
      </c>
      <c r="X42" s="25">
        <f>S43</f>
        <v>0.12986111111111112</v>
      </c>
      <c r="Y42" s="28"/>
      <c r="Z42" s="28"/>
      <c r="AA42" s="568"/>
      <c r="AB42" s="569"/>
      <c r="AC42" s="50">
        <v>4</v>
      </c>
      <c r="AD42" s="27"/>
      <c r="AE42" s="20">
        <f t="shared" si="8"/>
        <v>-80.000000000000455</v>
      </c>
      <c r="AF42" s="467">
        <f t="shared" si="9"/>
        <v>0.95999999999999974</v>
      </c>
      <c r="AG42" s="584">
        <f>AF46</f>
        <v>0.95452702102076792</v>
      </c>
    </row>
    <row r="43" spans="1:33" ht="15.75" customHeight="1">
      <c r="A43" s="590" t="s">
        <v>2935</v>
      </c>
      <c r="B43" s="39" t="s">
        <v>104</v>
      </c>
      <c r="C43" s="566" t="s">
        <v>106</v>
      </c>
      <c r="D43" s="567"/>
      <c r="E43" s="39">
        <v>35.119999999999997</v>
      </c>
      <c r="F43" s="472">
        <v>5144</v>
      </c>
      <c r="G43" s="468">
        <f t="shared" si="31"/>
        <v>180657.28</v>
      </c>
      <c r="H43" s="48" t="s">
        <v>126</v>
      </c>
      <c r="I43" s="469">
        <v>10</v>
      </c>
      <c r="J43" s="43">
        <v>3000</v>
      </c>
      <c r="K43" s="18">
        <f t="shared" si="1"/>
        <v>300</v>
      </c>
      <c r="L43" s="469">
        <v>10</v>
      </c>
      <c r="M43" s="19">
        <f t="shared" si="32"/>
        <v>2857.7777777777783</v>
      </c>
      <c r="N43" s="19">
        <f t="shared" si="3"/>
        <v>285.77777777777783</v>
      </c>
      <c r="O43" s="20">
        <f t="shared" si="4"/>
        <v>0</v>
      </c>
      <c r="P43" s="21">
        <f t="shared" si="5"/>
        <v>-14.222222222222172</v>
      </c>
      <c r="Q43" s="467">
        <f t="shared" si="6"/>
        <v>0.95259259259259277</v>
      </c>
      <c r="R43" s="585"/>
      <c r="S43" s="49">
        <v>0.12986111111111112</v>
      </c>
      <c r="T43" s="49">
        <v>0.2048611111111111</v>
      </c>
      <c r="U43" s="468">
        <f t="shared" ref="U43:U45" si="34">(S43-T42)*24*60</f>
        <v>29.000000000000018</v>
      </c>
      <c r="V43" s="470">
        <f t="shared" si="33"/>
        <v>107.99999999999997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-142.22222222222172</v>
      </c>
      <c r="AF43" s="467">
        <f t="shared" si="9"/>
        <v>0.95259259259259277</v>
      </c>
      <c r="AG43" s="585"/>
    </row>
    <row r="44" spans="1:33" ht="15.75" customHeight="1">
      <c r="A44" s="590" t="s">
        <v>2935</v>
      </c>
      <c r="B44" s="39" t="s">
        <v>104</v>
      </c>
      <c r="C44" s="566" t="s">
        <v>107</v>
      </c>
      <c r="D44" s="567"/>
      <c r="E44" s="39">
        <v>21.13</v>
      </c>
      <c r="F44" s="472">
        <v>4874</v>
      </c>
      <c r="G44" s="468">
        <f t="shared" si="31"/>
        <v>102987.62</v>
      </c>
      <c r="H44" s="48" t="s">
        <v>126</v>
      </c>
      <c r="I44" s="469">
        <v>10</v>
      </c>
      <c r="J44" s="43">
        <v>3000</v>
      </c>
      <c r="K44" s="18">
        <f t="shared" si="1"/>
        <v>300</v>
      </c>
      <c r="L44" s="469">
        <v>10</v>
      </c>
      <c r="M44" s="19">
        <f t="shared" si="32"/>
        <v>2867.0588235294117</v>
      </c>
      <c r="N44" s="19">
        <f t="shared" si="3"/>
        <v>286.70588235294116</v>
      </c>
      <c r="O44" s="20">
        <f t="shared" si="4"/>
        <v>0</v>
      </c>
      <c r="P44" s="21">
        <f t="shared" si="5"/>
        <v>-13.29411764705884</v>
      </c>
      <c r="Q44" s="467">
        <f t="shared" si="6"/>
        <v>0.95568627450980381</v>
      </c>
      <c r="R44" s="585"/>
      <c r="S44" s="49">
        <v>0.20902777777777778</v>
      </c>
      <c r="T44" s="49">
        <v>0.27986111111111112</v>
      </c>
      <c r="U44" s="468">
        <f t="shared" si="34"/>
        <v>6.0000000000000187</v>
      </c>
      <c r="V44" s="470">
        <f t="shared" si="33"/>
        <v>102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-132.94117647058829</v>
      </c>
      <c r="AF44" s="467">
        <f t="shared" si="9"/>
        <v>0.95568627450980392</v>
      </c>
      <c r="AG44" s="585"/>
    </row>
    <row r="45" spans="1:33" ht="15.75" customHeight="1">
      <c r="A45" s="590" t="s">
        <v>2935</v>
      </c>
      <c r="B45" s="39" t="s">
        <v>104</v>
      </c>
      <c r="C45" s="566" t="s">
        <v>108</v>
      </c>
      <c r="D45" s="567"/>
      <c r="E45" s="39">
        <v>27.17</v>
      </c>
      <c r="F45" s="472">
        <v>6043</v>
      </c>
      <c r="G45" s="468">
        <f t="shared" si="31"/>
        <v>164188.31</v>
      </c>
      <c r="H45" s="48" t="s">
        <v>126</v>
      </c>
      <c r="I45" s="469">
        <v>10</v>
      </c>
      <c r="J45" s="43">
        <v>3000</v>
      </c>
      <c r="K45" s="18">
        <f t="shared" si="1"/>
        <v>300</v>
      </c>
      <c r="L45" s="469">
        <v>10</v>
      </c>
      <c r="M45" s="19">
        <f t="shared" si="32"/>
        <v>2854.9606299212592</v>
      </c>
      <c r="N45" s="19">
        <f t="shared" si="3"/>
        <v>285.49606299212593</v>
      </c>
      <c r="O45" s="20">
        <f t="shared" si="4"/>
        <v>0</v>
      </c>
      <c r="P45" s="21">
        <f t="shared" si="5"/>
        <v>-14.503937007874072</v>
      </c>
      <c r="Q45" s="467">
        <f t="shared" si="6"/>
        <v>0.9516535433070864</v>
      </c>
      <c r="R45" s="585"/>
      <c r="S45" s="49">
        <v>0.28333333333333333</v>
      </c>
      <c r="T45" s="49">
        <v>0.37152777777777779</v>
      </c>
      <c r="U45" s="468">
        <f t="shared" si="34"/>
        <v>4.9999999999999822</v>
      </c>
      <c r="V45" s="470">
        <f t="shared" si="33"/>
        <v>127.00000000000003</v>
      </c>
      <c r="W45" s="25"/>
      <c r="X45" s="25"/>
      <c r="Y45" s="28"/>
      <c r="Z45" s="28"/>
      <c r="AA45" s="568"/>
      <c r="AB45" s="569"/>
      <c r="AC45" s="50"/>
      <c r="AD45" s="27"/>
      <c r="AE45" s="20">
        <f t="shared" si="8"/>
        <v>-145.03937007874083</v>
      </c>
      <c r="AF45" s="467">
        <f t="shared" si="9"/>
        <v>0.9516535433070864</v>
      </c>
      <c r="AG45" s="585"/>
    </row>
    <row r="46" spans="1:33" ht="15.75" customHeight="1">
      <c r="A46" s="591" t="s">
        <v>2935</v>
      </c>
      <c r="B46" s="39" t="s">
        <v>2936</v>
      </c>
      <c r="C46" s="570"/>
      <c r="D46" s="571"/>
      <c r="E46" s="476"/>
      <c r="F46" s="472"/>
      <c r="G46" s="468"/>
      <c r="H46" s="472"/>
      <c r="I46" s="32">
        <v>10.75</v>
      </c>
      <c r="J46" s="43">
        <v>2750</v>
      </c>
      <c r="K46" s="18">
        <f t="shared" si="1"/>
        <v>255.81395348837211</v>
      </c>
      <c r="L46" s="32">
        <v>10.75</v>
      </c>
      <c r="M46" s="19">
        <f>AVERAGE(M42:M45)</f>
        <v>2624.9493078071118</v>
      </c>
      <c r="N46" s="18">
        <f t="shared" si="3"/>
        <v>244.18133095880111</v>
      </c>
      <c r="O46" s="20">
        <f t="shared" si="4"/>
        <v>0</v>
      </c>
      <c r="P46" s="21">
        <f t="shared" si="5"/>
        <v>-11.632622529570995</v>
      </c>
      <c r="Q46" s="467">
        <f t="shared" si="6"/>
        <v>0.95452702102076792</v>
      </c>
      <c r="R46" s="586"/>
      <c r="S46" s="49"/>
      <c r="T46" s="49"/>
      <c r="U46" s="468"/>
      <c r="V46" s="470"/>
      <c r="W46" s="25"/>
      <c r="X46" s="25"/>
      <c r="Y46" s="33">
        <f>SUM(Y42:Y45)</f>
        <v>0</v>
      </c>
      <c r="Z46" s="33">
        <f>SUM(Z42:Z45)</f>
        <v>0</v>
      </c>
      <c r="AA46" s="587"/>
      <c r="AB46" s="588"/>
      <c r="AC46" s="33">
        <v>4</v>
      </c>
      <c r="AD46" s="33">
        <f>SUM(AD42:AD45)</f>
        <v>0</v>
      </c>
      <c r="AE46" s="20">
        <f t="shared" si="8"/>
        <v>-125.05069219288816</v>
      </c>
      <c r="AF46" s="467">
        <f t="shared" si="9"/>
        <v>0.95452702102076792</v>
      </c>
      <c r="AG46" s="586"/>
    </row>
    <row r="47" spans="1:33" ht="15.75" customHeight="1">
      <c r="A47" s="582" t="s">
        <v>2937</v>
      </c>
      <c r="B47" s="39" t="s">
        <v>79</v>
      </c>
      <c r="C47" s="574" t="s">
        <v>109</v>
      </c>
      <c r="D47" s="574"/>
      <c r="E47" s="39">
        <v>46</v>
      </c>
      <c r="F47" s="45">
        <v>2317</v>
      </c>
      <c r="G47" s="468">
        <f t="shared" ref="G47:G53" si="35">E47*F47</f>
        <v>106582</v>
      </c>
      <c r="H47" s="48" t="s">
        <v>126</v>
      </c>
      <c r="I47" s="469">
        <v>16</v>
      </c>
      <c r="J47" s="43">
        <v>2000</v>
      </c>
      <c r="K47" s="18">
        <f t="shared" si="1"/>
        <v>125</v>
      </c>
      <c r="L47" s="469">
        <v>16</v>
      </c>
      <c r="M47" s="19">
        <f t="shared" ref="M47" si="36">F47/V47*60</f>
        <v>1904.3835616438353</v>
      </c>
      <c r="N47" s="19">
        <f t="shared" si="3"/>
        <v>119.0239726027397</v>
      </c>
      <c r="O47" s="20">
        <f t="shared" si="4"/>
        <v>0</v>
      </c>
      <c r="P47" s="21">
        <f t="shared" si="5"/>
        <v>-5.976027397260296</v>
      </c>
      <c r="Q47" s="467">
        <f t="shared" si="6"/>
        <v>0.95219178082191758</v>
      </c>
      <c r="R47" s="573">
        <f>Q54</f>
        <v>0.95848423455553877</v>
      </c>
      <c r="S47" s="49">
        <v>0.20833333333333334</v>
      </c>
      <c r="T47" s="49">
        <v>0.2590277777777778</v>
      </c>
      <c r="U47" s="30"/>
      <c r="V47" s="470">
        <f t="shared" ref="V47:V53" si="37">(T47-S47)*24*60</f>
        <v>73.000000000000014</v>
      </c>
      <c r="W47" s="30"/>
      <c r="X47" s="30"/>
      <c r="Y47" s="30"/>
      <c r="Z47" s="30"/>
      <c r="AA47" s="575"/>
      <c r="AB47" s="575"/>
      <c r="AC47" s="50">
        <v>7</v>
      </c>
      <c r="AD47" s="27"/>
      <c r="AE47" s="20">
        <f t="shared" si="8"/>
        <v>-95.616438356164736</v>
      </c>
      <c r="AF47" s="467">
        <f t="shared" si="9"/>
        <v>0.95219178082191758</v>
      </c>
      <c r="AG47" s="573">
        <f>AF54</f>
        <v>0.95848423455553866</v>
      </c>
    </row>
    <row r="48" spans="1:33" ht="15.75" customHeight="1">
      <c r="A48" s="582" t="s">
        <v>63</v>
      </c>
      <c r="B48" s="39" t="s">
        <v>79</v>
      </c>
      <c r="C48" s="574" t="s">
        <v>1233</v>
      </c>
      <c r="D48" s="574"/>
      <c r="E48" s="39">
        <v>46</v>
      </c>
      <c r="F48" s="45">
        <v>3122</v>
      </c>
      <c r="G48" s="468">
        <f t="shared" si="35"/>
        <v>143612</v>
      </c>
      <c r="H48" s="48" t="s">
        <v>126</v>
      </c>
      <c r="I48" s="469">
        <v>16</v>
      </c>
      <c r="J48" s="43">
        <v>2000</v>
      </c>
      <c r="K48" s="18">
        <f t="shared" si="1"/>
        <v>125</v>
      </c>
      <c r="L48" s="469">
        <v>16</v>
      </c>
      <c r="M48" s="19">
        <f>F48/V48*60</f>
        <v>1911.4285714285718</v>
      </c>
      <c r="N48" s="19">
        <f t="shared" si="3"/>
        <v>119.46428571428574</v>
      </c>
      <c r="O48" s="20">
        <f t="shared" si="4"/>
        <v>0</v>
      </c>
      <c r="P48" s="21">
        <f t="shared" si="5"/>
        <v>-5.5357142857142634</v>
      </c>
      <c r="Q48" s="467">
        <f t="shared" si="6"/>
        <v>0.95571428571428585</v>
      </c>
      <c r="R48" s="573"/>
      <c r="S48" s="49">
        <v>0.2638888888888889</v>
      </c>
      <c r="T48" s="49">
        <v>0.33194444444444443</v>
      </c>
      <c r="U48" s="468">
        <f t="shared" ref="U48:U53" si="38">IF(S48=TIME(17,0,0),"",(S48-T47)*24*60)</f>
        <v>6.9999999999999751</v>
      </c>
      <c r="V48" s="470">
        <f t="shared" si="37"/>
        <v>97.999999999999972</v>
      </c>
      <c r="W48" s="25"/>
      <c r="X48" s="25"/>
      <c r="Y48" s="25"/>
      <c r="Z48" s="25"/>
      <c r="AA48" s="575"/>
      <c r="AB48" s="575"/>
      <c r="AC48" s="50"/>
      <c r="AD48" s="27"/>
      <c r="AE48" s="20">
        <f t="shared" si="8"/>
        <v>-88.571428571428214</v>
      </c>
      <c r="AF48" s="467">
        <f t="shared" si="9"/>
        <v>0.95571428571428585</v>
      </c>
      <c r="AG48" s="573"/>
    </row>
    <row r="49" spans="1:33" ht="15.75" customHeight="1">
      <c r="A49" s="582" t="s">
        <v>2937</v>
      </c>
      <c r="B49" s="39" t="s">
        <v>74</v>
      </c>
      <c r="C49" s="566" t="s">
        <v>111</v>
      </c>
      <c r="D49" s="567"/>
      <c r="E49" s="39">
        <v>51.75</v>
      </c>
      <c r="F49" s="45">
        <v>785</v>
      </c>
      <c r="G49" s="468">
        <f t="shared" si="35"/>
        <v>40623.75</v>
      </c>
      <c r="H49" s="48" t="s">
        <v>126</v>
      </c>
      <c r="I49" s="469">
        <v>25</v>
      </c>
      <c r="J49" s="43">
        <v>2000</v>
      </c>
      <c r="K49" s="18">
        <f t="shared" si="1"/>
        <v>80</v>
      </c>
      <c r="L49" s="469">
        <v>25</v>
      </c>
      <c r="M49" s="19">
        <f t="shared" ref="M49:M53" si="39">F49/V49*60</f>
        <v>1962.5000000000005</v>
      </c>
      <c r="N49" s="19">
        <f t="shared" si="3"/>
        <v>78.500000000000014</v>
      </c>
      <c r="O49" s="20">
        <f t="shared" si="4"/>
        <v>0</v>
      </c>
      <c r="P49" s="21">
        <f t="shared" si="5"/>
        <v>-1.4999999999999858</v>
      </c>
      <c r="Q49" s="467">
        <f t="shared" si="6"/>
        <v>0.98125000000000018</v>
      </c>
      <c r="R49" s="573"/>
      <c r="S49" s="49">
        <v>0.33749999999999997</v>
      </c>
      <c r="T49" s="49">
        <v>0.35416666666666663</v>
      </c>
      <c r="U49" s="468">
        <f t="shared" si="38"/>
        <v>7.9999999999999716</v>
      </c>
      <c r="V49" s="470">
        <f t="shared" si="37"/>
        <v>23.999999999999993</v>
      </c>
      <c r="W49" s="25"/>
      <c r="X49" s="25"/>
      <c r="Y49" s="28"/>
      <c r="Z49" s="28"/>
      <c r="AA49" s="575"/>
      <c r="AB49" s="575"/>
      <c r="AC49" s="50"/>
      <c r="AD49" s="27"/>
      <c r="AE49" s="20">
        <f t="shared" si="8"/>
        <v>-37.499999999999545</v>
      </c>
      <c r="AF49" s="467">
        <f t="shared" si="9"/>
        <v>0.98125000000000018</v>
      </c>
      <c r="AG49" s="573"/>
    </row>
    <row r="50" spans="1:33" ht="15.75" customHeight="1">
      <c r="A50" s="582" t="s">
        <v>63</v>
      </c>
      <c r="B50" s="39" t="s">
        <v>74</v>
      </c>
      <c r="C50" s="474" t="s">
        <v>110</v>
      </c>
      <c r="D50" s="475"/>
      <c r="E50" s="39">
        <v>56.43</v>
      </c>
      <c r="F50" s="45">
        <v>1317</v>
      </c>
      <c r="G50" s="468">
        <f t="shared" si="35"/>
        <v>74318.31</v>
      </c>
      <c r="H50" s="48" t="s">
        <v>126</v>
      </c>
      <c r="I50" s="469">
        <v>22</v>
      </c>
      <c r="J50" s="43">
        <v>2000</v>
      </c>
      <c r="K50" s="18">
        <f t="shared" si="1"/>
        <v>90.909090909090907</v>
      </c>
      <c r="L50" s="469">
        <v>22</v>
      </c>
      <c r="M50" s="19">
        <f t="shared" si="39"/>
        <v>1927.317073170731</v>
      </c>
      <c r="N50" s="19">
        <f t="shared" si="3"/>
        <v>87.605321507760493</v>
      </c>
      <c r="O50" s="20">
        <f t="shared" si="4"/>
        <v>0</v>
      </c>
      <c r="P50" s="21">
        <f t="shared" si="5"/>
        <v>-3.3037694013304133</v>
      </c>
      <c r="Q50" s="467">
        <f t="shared" si="6"/>
        <v>0.96365853658536549</v>
      </c>
      <c r="R50" s="573"/>
      <c r="S50" s="49">
        <v>0.35833333333333328</v>
      </c>
      <c r="T50" s="49">
        <v>0.38680555555555551</v>
      </c>
      <c r="U50" s="468">
        <f t="shared" si="38"/>
        <v>5.9999999999999787</v>
      </c>
      <c r="V50" s="470">
        <f t="shared" si="37"/>
        <v>41.000000000000014</v>
      </c>
      <c r="W50" s="25"/>
      <c r="X50" s="25"/>
      <c r="Y50" s="28"/>
      <c r="Z50" s="28"/>
      <c r="AA50" s="575"/>
      <c r="AB50" s="575"/>
      <c r="AC50" s="50"/>
      <c r="AD50" s="27"/>
      <c r="AE50" s="20">
        <f t="shared" si="8"/>
        <v>-72.682926829269036</v>
      </c>
      <c r="AF50" s="467">
        <f t="shared" si="9"/>
        <v>0.96365853658536549</v>
      </c>
      <c r="AG50" s="573"/>
    </row>
    <row r="51" spans="1:33" ht="15.75" customHeight="1">
      <c r="A51" s="582" t="s">
        <v>63</v>
      </c>
      <c r="B51" s="39" t="s">
        <v>74</v>
      </c>
      <c r="C51" s="474" t="s">
        <v>88</v>
      </c>
      <c r="D51" s="475"/>
      <c r="E51" s="39">
        <v>59.04</v>
      </c>
      <c r="F51" s="45">
        <v>3150</v>
      </c>
      <c r="G51" s="468">
        <f t="shared" si="35"/>
        <v>185976</v>
      </c>
      <c r="H51" s="48" t="s">
        <v>126</v>
      </c>
      <c r="I51" s="469">
        <v>19</v>
      </c>
      <c r="J51" s="43">
        <v>2000</v>
      </c>
      <c r="K51" s="18">
        <f t="shared" si="1"/>
        <v>105.26315789473684</v>
      </c>
      <c r="L51" s="469">
        <v>19</v>
      </c>
      <c r="M51" s="19">
        <f t="shared" si="39"/>
        <v>1909.0909090909097</v>
      </c>
      <c r="N51" s="19">
        <f t="shared" si="3"/>
        <v>100.47846889952156</v>
      </c>
      <c r="O51" s="20">
        <f t="shared" si="4"/>
        <v>0</v>
      </c>
      <c r="P51" s="21">
        <f t="shared" si="5"/>
        <v>-4.7846889952152765</v>
      </c>
      <c r="Q51" s="467">
        <f t="shared" si="6"/>
        <v>0.95454545454545492</v>
      </c>
      <c r="R51" s="573"/>
      <c r="S51" s="49">
        <v>0.39097222222222217</v>
      </c>
      <c r="T51" s="49">
        <v>0.45972222222222214</v>
      </c>
      <c r="U51" s="468">
        <f t="shared" si="38"/>
        <v>5.9999999999999787</v>
      </c>
      <c r="V51" s="470">
        <f t="shared" si="37"/>
        <v>98.999999999999972</v>
      </c>
      <c r="W51" s="25"/>
      <c r="X51" s="25"/>
      <c r="Y51" s="28"/>
      <c r="Z51" s="28"/>
      <c r="AA51" s="575"/>
      <c r="AB51" s="575"/>
      <c r="AC51" s="50"/>
      <c r="AD51" s="27"/>
      <c r="AE51" s="20">
        <f t="shared" si="8"/>
        <v>-90.90909090909031</v>
      </c>
      <c r="AF51" s="467">
        <f t="shared" si="9"/>
        <v>0.95454545454545481</v>
      </c>
      <c r="AG51" s="573"/>
    </row>
    <row r="52" spans="1:33" ht="15.75" customHeight="1">
      <c r="A52" s="582" t="s">
        <v>63</v>
      </c>
      <c r="B52" s="39" t="s">
        <v>74</v>
      </c>
      <c r="C52" s="566" t="s">
        <v>113</v>
      </c>
      <c r="D52" s="567"/>
      <c r="E52" s="39">
        <v>55.56</v>
      </c>
      <c r="F52" s="45">
        <v>2126</v>
      </c>
      <c r="G52" s="468">
        <f t="shared" si="35"/>
        <v>118120.56</v>
      </c>
      <c r="H52" s="48" t="s">
        <v>126</v>
      </c>
      <c r="I52" s="469">
        <v>17</v>
      </c>
      <c r="J52" s="43">
        <v>2000</v>
      </c>
      <c r="K52" s="18">
        <f t="shared" si="1"/>
        <v>117.64705882352941</v>
      </c>
      <c r="L52" s="469">
        <v>17</v>
      </c>
      <c r="M52" s="19">
        <f t="shared" si="39"/>
        <v>1903.8805970149228</v>
      </c>
      <c r="N52" s="19">
        <f t="shared" si="3"/>
        <v>111.99297629499546</v>
      </c>
      <c r="O52" s="20">
        <f t="shared" si="4"/>
        <v>0</v>
      </c>
      <c r="P52" s="21">
        <f t="shared" si="5"/>
        <v>-5.654082528533948</v>
      </c>
      <c r="Q52" s="467">
        <f t="shared" si="6"/>
        <v>0.95194029850746142</v>
      </c>
      <c r="R52" s="573"/>
      <c r="S52" s="49">
        <v>0.70833333333333337</v>
      </c>
      <c r="T52" s="49">
        <v>0.7548611111111112</v>
      </c>
      <c r="U52" s="468" t="str">
        <f t="shared" si="38"/>
        <v/>
      </c>
      <c r="V52" s="470">
        <f t="shared" si="37"/>
        <v>67.000000000000085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-96.119402985077159</v>
      </c>
      <c r="AF52" s="467">
        <f t="shared" si="9"/>
        <v>0.95194029850746142</v>
      </c>
      <c r="AG52" s="573"/>
    </row>
    <row r="53" spans="1:33" ht="15.75" customHeight="1">
      <c r="A53" s="582" t="s">
        <v>63</v>
      </c>
      <c r="B53" s="39" t="s">
        <v>74</v>
      </c>
      <c r="C53" s="566" t="s">
        <v>1826</v>
      </c>
      <c r="D53" s="567"/>
      <c r="E53" s="39">
        <v>51.06</v>
      </c>
      <c r="F53" s="45">
        <v>3547</v>
      </c>
      <c r="G53" s="468">
        <f t="shared" si="35"/>
        <v>181109.82</v>
      </c>
      <c r="H53" s="48" t="s">
        <v>126</v>
      </c>
      <c r="I53" s="469">
        <v>13</v>
      </c>
      <c r="J53" s="43">
        <v>2000</v>
      </c>
      <c r="K53" s="18">
        <f t="shared" si="1"/>
        <v>153.84615384615384</v>
      </c>
      <c r="L53" s="469">
        <v>13</v>
      </c>
      <c r="M53" s="19">
        <f t="shared" si="39"/>
        <v>1900.17857142857</v>
      </c>
      <c r="N53" s="19">
        <f t="shared" si="3"/>
        <v>146.16758241758231</v>
      </c>
      <c r="O53" s="20">
        <f t="shared" si="4"/>
        <v>0</v>
      </c>
      <c r="P53" s="21">
        <f t="shared" si="5"/>
        <v>-7.6785714285715301</v>
      </c>
      <c r="Q53" s="467">
        <f t="shared" si="6"/>
        <v>0.95008928571428508</v>
      </c>
      <c r="R53" s="573"/>
      <c r="S53" s="49">
        <v>0.75833333333333341</v>
      </c>
      <c r="T53" s="49">
        <v>0.83611111111111125</v>
      </c>
      <c r="U53" s="468">
        <f t="shared" si="38"/>
        <v>4.9999999999999822</v>
      </c>
      <c r="V53" s="470">
        <f t="shared" si="37"/>
        <v>112.00000000000009</v>
      </c>
      <c r="W53" s="25"/>
      <c r="X53" s="25"/>
      <c r="Y53" s="28"/>
      <c r="Z53" s="28"/>
      <c r="AA53" s="568"/>
      <c r="AB53" s="569"/>
      <c r="AC53" s="50"/>
      <c r="AD53" s="27"/>
      <c r="AE53" s="20">
        <f t="shared" si="8"/>
        <v>-99.821428571430033</v>
      </c>
      <c r="AF53" s="467">
        <f t="shared" si="9"/>
        <v>0.95008928571428497</v>
      </c>
      <c r="AG53" s="573"/>
    </row>
    <row r="54" spans="1:33">
      <c r="A54" s="583" t="s">
        <v>63</v>
      </c>
      <c r="B54" s="39" t="s">
        <v>46</v>
      </c>
      <c r="C54" s="576"/>
      <c r="D54" s="576"/>
      <c r="E54" s="473"/>
      <c r="F54" s="42"/>
      <c r="G54" s="18"/>
      <c r="H54" s="472"/>
      <c r="I54" s="32">
        <v>18.285714285714285</v>
      </c>
      <c r="J54" s="43">
        <v>2000</v>
      </c>
      <c r="K54" s="18">
        <f t="shared" si="1"/>
        <v>109.375</v>
      </c>
      <c r="L54" s="32">
        <v>18.285714285714285</v>
      </c>
      <c r="M54" s="19">
        <f>AVERAGE(M47:M53)</f>
        <v>1916.9684691110774</v>
      </c>
      <c r="N54" s="18">
        <f t="shared" si="3"/>
        <v>104.83421315451206</v>
      </c>
      <c r="O54" s="20">
        <f t="shared" si="4"/>
        <v>0</v>
      </c>
      <c r="P54" s="21">
        <f t="shared" si="5"/>
        <v>-4.5407868454879434</v>
      </c>
      <c r="Q54" s="467">
        <f t="shared" si="6"/>
        <v>0.95848423455553877</v>
      </c>
      <c r="R54" s="573"/>
      <c r="S54" s="49"/>
      <c r="T54" s="49"/>
      <c r="U54" s="468"/>
      <c r="V54" s="470"/>
      <c r="W54" s="18"/>
      <c r="X54" s="18"/>
      <c r="Y54" s="33">
        <f>SUM(Y47:Y53)</f>
        <v>0</v>
      </c>
      <c r="Z54" s="33">
        <f>SUM(Z47:Z53)</f>
        <v>0</v>
      </c>
      <c r="AA54" s="572"/>
      <c r="AB54" s="572"/>
      <c r="AC54" s="33">
        <v>7</v>
      </c>
      <c r="AD54" s="33">
        <f>SUM(AD47:AD53)</f>
        <v>0</v>
      </c>
      <c r="AE54" s="20">
        <f>M54-J54</f>
        <v>-83.031530888922589</v>
      </c>
      <c r="AF54" s="467">
        <f t="shared" si="9"/>
        <v>0.95848423455553866</v>
      </c>
      <c r="AG54" s="573"/>
    </row>
    <row r="55" spans="1:33" ht="15.75" customHeight="1">
      <c r="A55" s="580" t="s">
        <v>2938</v>
      </c>
      <c r="B55" s="472" t="s">
        <v>104</v>
      </c>
      <c r="C55" s="574" t="s">
        <v>115</v>
      </c>
      <c r="D55" s="574"/>
      <c r="E55" s="39">
        <v>34.36</v>
      </c>
      <c r="F55" s="45">
        <v>2322</v>
      </c>
      <c r="G55" s="468">
        <f t="shared" ref="G55:G59" si="40">E55*F55</f>
        <v>79783.92</v>
      </c>
      <c r="H55" s="48" t="s">
        <v>126</v>
      </c>
      <c r="I55" s="469">
        <v>10</v>
      </c>
      <c r="J55" s="43">
        <v>3000</v>
      </c>
      <c r="K55" s="18">
        <f t="shared" si="1"/>
        <v>300</v>
      </c>
      <c r="L55" s="469">
        <v>10</v>
      </c>
      <c r="M55" s="19">
        <f t="shared" ref="M55:M59" si="41">F55/V55*60</f>
        <v>2902.5000000000009</v>
      </c>
      <c r="N55" s="18">
        <f t="shared" si="3"/>
        <v>290.25000000000011</v>
      </c>
      <c r="O55" s="20">
        <f t="shared" si="4"/>
        <v>0</v>
      </c>
      <c r="P55" s="21">
        <f t="shared" si="5"/>
        <v>-9.7499999999998863</v>
      </c>
      <c r="Q55" s="467">
        <f t="shared" si="6"/>
        <v>0.96750000000000036</v>
      </c>
      <c r="R55" s="573">
        <f>Q60</f>
        <v>0.96751874686716821</v>
      </c>
      <c r="S55" s="49">
        <v>0.20833333333333334</v>
      </c>
      <c r="T55" s="49">
        <v>0.24166666666666667</v>
      </c>
      <c r="U55" s="468"/>
      <c r="V55" s="470">
        <f t="shared" ref="V55:V59" si="42">(T55-S55)*24*60</f>
        <v>47.999999999999986</v>
      </c>
      <c r="W55" s="30"/>
      <c r="X55" s="30"/>
      <c r="Y55" s="30"/>
      <c r="Z55" s="30"/>
      <c r="AA55" s="575"/>
      <c r="AB55" s="575"/>
      <c r="AC55" s="50">
        <v>5</v>
      </c>
      <c r="AD55" s="27"/>
      <c r="AE55" s="20">
        <f t="shared" ref="AE55:AE67" si="43">M55-J55</f>
        <v>-97.499999999999091</v>
      </c>
      <c r="AF55" s="467">
        <f t="shared" si="9"/>
        <v>0.96750000000000025</v>
      </c>
      <c r="AG55" s="573">
        <f>AF60</f>
        <v>0.96751874686716832</v>
      </c>
    </row>
    <row r="56" spans="1:33" ht="15.75" customHeight="1">
      <c r="A56" s="580" t="s">
        <v>66</v>
      </c>
      <c r="B56" s="472" t="s">
        <v>104</v>
      </c>
      <c r="C56" s="574" t="s">
        <v>116</v>
      </c>
      <c r="D56" s="574"/>
      <c r="E56" s="39">
        <v>34.36</v>
      </c>
      <c r="F56" s="45">
        <v>1033</v>
      </c>
      <c r="G56" s="468">
        <f t="shared" si="40"/>
        <v>35493.879999999997</v>
      </c>
      <c r="H56" s="48" t="s">
        <v>126</v>
      </c>
      <c r="I56" s="469">
        <v>10</v>
      </c>
      <c r="J56" s="43">
        <v>3000</v>
      </c>
      <c r="K56" s="18">
        <f t="shared" si="1"/>
        <v>300</v>
      </c>
      <c r="L56" s="469">
        <v>10</v>
      </c>
      <c r="M56" s="19">
        <f t="shared" si="41"/>
        <v>2951.4285714285766</v>
      </c>
      <c r="N56" s="18">
        <f t="shared" si="3"/>
        <v>295.14285714285768</v>
      </c>
      <c r="O56" s="20">
        <f t="shared" si="4"/>
        <v>0</v>
      </c>
      <c r="P56" s="21">
        <f t="shared" si="5"/>
        <v>-4.8571428571423212</v>
      </c>
      <c r="Q56" s="467">
        <f t="shared" si="6"/>
        <v>0.98380952380952558</v>
      </c>
      <c r="R56" s="573"/>
      <c r="S56" s="49">
        <v>0.24513888888888888</v>
      </c>
      <c r="T56" s="49">
        <v>0.25972222222222219</v>
      </c>
      <c r="U56" s="468">
        <f t="shared" ref="U56:U59" si="44">(S56-T55)*24*60</f>
        <v>4.9999999999999822</v>
      </c>
      <c r="V56" s="470">
        <f t="shared" si="42"/>
        <v>20.999999999999964</v>
      </c>
      <c r="W56" s="468"/>
      <c r="X56" s="468"/>
      <c r="Y56" s="468"/>
      <c r="Z56" s="468"/>
      <c r="AA56" s="575"/>
      <c r="AB56" s="575"/>
      <c r="AC56" s="50"/>
      <c r="AD56" s="27"/>
      <c r="AE56" s="20">
        <f t="shared" si="43"/>
        <v>-48.571428571423439</v>
      </c>
      <c r="AF56" s="467">
        <f t="shared" si="9"/>
        <v>0.98380952380952547</v>
      </c>
      <c r="AG56" s="573"/>
    </row>
    <row r="57" spans="1:33" ht="15.75" customHeight="1">
      <c r="A57" s="580" t="s">
        <v>66</v>
      </c>
      <c r="B57" s="472" t="s">
        <v>104</v>
      </c>
      <c r="C57" s="574" t="s">
        <v>117</v>
      </c>
      <c r="D57" s="574"/>
      <c r="E57" s="39">
        <v>26.78</v>
      </c>
      <c r="F57" s="45">
        <v>2394</v>
      </c>
      <c r="G57" s="468">
        <f t="shared" si="40"/>
        <v>64111.32</v>
      </c>
      <c r="H57" s="48" t="s">
        <v>126</v>
      </c>
      <c r="I57" s="469">
        <v>10</v>
      </c>
      <c r="J57" s="43">
        <v>3000</v>
      </c>
      <c r="K57" s="18">
        <f t="shared" si="1"/>
        <v>300</v>
      </c>
      <c r="L57" s="469">
        <v>10</v>
      </c>
      <c r="M57" s="19">
        <f t="shared" si="41"/>
        <v>2872.8000000000011</v>
      </c>
      <c r="N57" s="18">
        <f t="shared" si="3"/>
        <v>287.28000000000009</v>
      </c>
      <c r="O57" s="20">
        <f t="shared" si="4"/>
        <v>0</v>
      </c>
      <c r="P57" s="21">
        <f t="shared" si="5"/>
        <v>-12.719999999999914</v>
      </c>
      <c r="Q57" s="467">
        <f t="shared" si="6"/>
        <v>0.95760000000000034</v>
      </c>
      <c r="R57" s="573"/>
      <c r="S57" s="49">
        <v>0.2631944444444444</v>
      </c>
      <c r="T57" s="49">
        <v>0.29791666666666661</v>
      </c>
      <c r="U57" s="468">
        <f t="shared" si="44"/>
        <v>4.9999999999999822</v>
      </c>
      <c r="V57" s="470">
        <f t="shared" si="42"/>
        <v>49.999999999999986</v>
      </c>
      <c r="W57" s="468"/>
      <c r="X57" s="468"/>
      <c r="Y57" s="468"/>
      <c r="Z57" s="468"/>
      <c r="AA57" s="575"/>
      <c r="AB57" s="575"/>
      <c r="AC57" s="50"/>
      <c r="AD57" s="27"/>
      <c r="AE57" s="20">
        <f t="shared" si="43"/>
        <v>-127.19999999999891</v>
      </c>
      <c r="AF57" s="467">
        <f t="shared" si="9"/>
        <v>0.95760000000000034</v>
      </c>
      <c r="AG57" s="573"/>
    </row>
    <row r="58" spans="1:33" ht="15.75" customHeight="1">
      <c r="A58" s="580" t="s">
        <v>66</v>
      </c>
      <c r="B58" s="472" t="s">
        <v>104</v>
      </c>
      <c r="C58" s="574" t="s">
        <v>119</v>
      </c>
      <c r="D58" s="574"/>
      <c r="E58" s="39">
        <v>35.869999999999997</v>
      </c>
      <c r="F58" s="45">
        <v>3623</v>
      </c>
      <c r="G58" s="468">
        <f t="shared" si="40"/>
        <v>129957.01</v>
      </c>
      <c r="H58" s="48" t="s">
        <v>126</v>
      </c>
      <c r="I58" s="469">
        <v>9</v>
      </c>
      <c r="J58" s="43">
        <v>3000</v>
      </c>
      <c r="K58" s="18">
        <f t="shared" si="1"/>
        <v>333.33333333333331</v>
      </c>
      <c r="L58" s="469">
        <v>9</v>
      </c>
      <c r="M58" s="19">
        <f t="shared" si="41"/>
        <v>2860.263157894738</v>
      </c>
      <c r="N58" s="18">
        <f t="shared" si="3"/>
        <v>317.80701754385979</v>
      </c>
      <c r="O58" s="20">
        <f t="shared" si="4"/>
        <v>0</v>
      </c>
      <c r="P58" s="21">
        <f t="shared" si="5"/>
        <v>-15.526315789473529</v>
      </c>
      <c r="Q58" s="467">
        <f t="shared" si="6"/>
        <v>0.95342105263157939</v>
      </c>
      <c r="R58" s="573"/>
      <c r="S58" s="49">
        <v>0.30138888888888882</v>
      </c>
      <c r="T58" s="49">
        <v>0.35416666666666657</v>
      </c>
      <c r="U58" s="468">
        <f t="shared" si="44"/>
        <v>4.9999999999999822</v>
      </c>
      <c r="V58" s="470">
        <f t="shared" si="42"/>
        <v>75.999999999999972</v>
      </c>
      <c r="W58" s="468"/>
      <c r="X58" s="468"/>
      <c r="Y58" s="468"/>
      <c r="Z58" s="468"/>
      <c r="AA58" s="575"/>
      <c r="AB58" s="575"/>
      <c r="AC58" s="50"/>
      <c r="AD58" s="27"/>
      <c r="AE58" s="20">
        <f t="shared" si="43"/>
        <v>-139.73684210526199</v>
      </c>
      <c r="AF58" s="467">
        <f t="shared" si="9"/>
        <v>0.95342105263157939</v>
      </c>
      <c r="AG58" s="573"/>
    </row>
    <row r="59" spans="1:33">
      <c r="A59" s="581" t="s">
        <v>66</v>
      </c>
      <c r="B59" s="472" t="s">
        <v>104</v>
      </c>
      <c r="C59" s="574" t="s">
        <v>120</v>
      </c>
      <c r="D59" s="574"/>
      <c r="E59" s="39">
        <v>34.35</v>
      </c>
      <c r="F59" s="45">
        <v>1853</v>
      </c>
      <c r="G59" s="468">
        <f t="shared" si="40"/>
        <v>63650.55</v>
      </c>
      <c r="H59" s="48" t="s">
        <v>126</v>
      </c>
      <c r="I59" s="469">
        <v>8</v>
      </c>
      <c r="J59" s="43">
        <v>3000</v>
      </c>
      <c r="K59" s="18">
        <f t="shared" si="1"/>
        <v>375</v>
      </c>
      <c r="L59" s="469">
        <v>8</v>
      </c>
      <c r="M59" s="19">
        <f t="shared" si="41"/>
        <v>2925.7894736842086</v>
      </c>
      <c r="N59" s="18">
        <f t="shared" si="3"/>
        <v>365.72368421052607</v>
      </c>
      <c r="O59" s="20">
        <f t="shared" si="4"/>
        <v>0</v>
      </c>
      <c r="P59" s="21">
        <f t="shared" si="5"/>
        <v>-9.2763157894739265</v>
      </c>
      <c r="Q59" s="467">
        <f t="shared" si="6"/>
        <v>0.97526315789473617</v>
      </c>
      <c r="R59" s="573"/>
      <c r="S59" s="49">
        <v>0.35972222222222211</v>
      </c>
      <c r="T59" s="49">
        <v>0.38611111111111102</v>
      </c>
      <c r="U59" s="468">
        <f t="shared" si="44"/>
        <v>7.9999999999999716</v>
      </c>
      <c r="V59" s="470">
        <f t="shared" si="42"/>
        <v>38.000000000000028</v>
      </c>
      <c r="W59" s="25"/>
      <c r="X59" s="25"/>
      <c r="Y59" s="25"/>
      <c r="Z59" s="25"/>
      <c r="AA59" s="575"/>
      <c r="AB59" s="575"/>
      <c r="AC59" s="50"/>
      <c r="AD59" s="27"/>
      <c r="AE59" s="20">
        <f t="shared" si="43"/>
        <v>-74.210526315791412</v>
      </c>
      <c r="AF59" s="467">
        <f t="shared" si="9"/>
        <v>0.97526315789473617</v>
      </c>
      <c r="AG59" s="573"/>
    </row>
    <row r="60" spans="1:33">
      <c r="A60" s="581" t="s">
        <v>2939</v>
      </c>
      <c r="B60" s="39" t="s">
        <v>46</v>
      </c>
      <c r="C60" s="576"/>
      <c r="D60" s="576"/>
      <c r="E60" s="473"/>
      <c r="F60" s="42"/>
      <c r="G60" s="18"/>
      <c r="H60" s="472"/>
      <c r="I60" s="32">
        <v>9.4</v>
      </c>
      <c r="J60" s="43">
        <v>3000</v>
      </c>
      <c r="K60" s="18">
        <f t="shared" si="1"/>
        <v>319.14893617021278</v>
      </c>
      <c r="L60" s="32">
        <v>9.4</v>
      </c>
      <c r="M60" s="19">
        <f>AVERAGE(M55:M59)</f>
        <v>2902.5562406015051</v>
      </c>
      <c r="N60" s="18">
        <f t="shared" si="3"/>
        <v>308.78257878739413</v>
      </c>
      <c r="O60" s="20">
        <f t="shared" si="4"/>
        <v>0</v>
      </c>
      <c r="P60" s="21">
        <f t="shared" si="5"/>
        <v>-10.366357382818649</v>
      </c>
      <c r="Q60" s="467">
        <f t="shared" si="6"/>
        <v>0.96751874686716821</v>
      </c>
      <c r="R60" s="573"/>
      <c r="S60" s="49"/>
      <c r="T60" s="49"/>
      <c r="U60" s="18"/>
      <c r="V60" s="470"/>
      <c r="W60" s="18"/>
      <c r="X60" s="18"/>
      <c r="Y60" s="33">
        <f>SUM(Y55:Y59)</f>
        <v>0</v>
      </c>
      <c r="Z60" s="33">
        <f>SUM(Z55:Z59)</f>
        <v>0</v>
      </c>
      <c r="AA60" s="572"/>
      <c r="AB60" s="572"/>
      <c r="AC60" s="33">
        <v>5</v>
      </c>
      <c r="AD60" s="33">
        <f>SUM(AD55:AD59)</f>
        <v>0</v>
      </c>
      <c r="AE60" s="20">
        <f t="shared" si="43"/>
        <v>-97.443759398494876</v>
      </c>
      <c r="AF60" s="467">
        <f t="shared" si="9"/>
        <v>0.96751874686716832</v>
      </c>
      <c r="AG60" s="573"/>
    </row>
    <row r="61" spans="1:33" ht="15.75" customHeight="1">
      <c r="A61" s="577" t="s">
        <v>2940</v>
      </c>
      <c r="B61" s="472" t="s">
        <v>94</v>
      </c>
      <c r="C61" s="574" t="s">
        <v>124</v>
      </c>
      <c r="D61" s="574"/>
      <c r="E61" s="39">
        <v>22.69</v>
      </c>
      <c r="F61" s="472">
        <v>3238</v>
      </c>
      <c r="G61" s="468">
        <f t="shared" ref="G61:G66" si="45">E61*F61</f>
        <v>73470.22</v>
      </c>
      <c r="H61" s="48" t="s">
        <v>126</v>
      </c>
      <c r="I61" s="469">
        <v>15</v>
      </c>
      <c r="J61" s="43">
        <v>2400</v>
      </c>
      <c r="K61" s="18">
        <f t="shared" si="1"/>
        <v>160</v>
      </c>
      <c r="L61" s="469">
        <v>15</v>
      </c>
      <c r="M61" s="19">
        <f t="shared" ref="M61:M66" si="46">F61/V61*60</f>
        <v>2285.6470588235297</v>
      </c>
      <c r="N61" s="18">
        <f t="shared" si="3"/>
        <v>152.37647058823532</v>
      </c>
      <c r="O61" s="20">
        <f t="shared" si="4"/>
        <v>0</v>
      </c>
      <c r="P61" s="21">
        <f t="shared" si="5"/>
        <v>-7.6235294117646788</v>
      </c>
      <c r="Q61" s="467">
        <f t="shared" si="6"/>
        <v>0.95235294117647074</v>
      </c>
      <c r="R61" s="573">
        <f>Q67</f>
        <v>0.95545312113959446</v>
      </c>
      <c r="S61" s="49">
        <v>8.3333333333333329E-2</v>
      </c>
      <c r="T61" s="49">
        <v>0.1423611111111111</v>
      </c>
      <c r="U61" s="30"/>
      <c r="V61" s="470">
        <f t="shared" ref="V61:V66" si="47">(T61-S61)*24*60</f>
        <v>84.999999999999986</v>
      </c>
      <c r="W61" s="25">
        <f>T61</f>
        <v>0.1423611111111111</v>
      </c>
      <c r="X61" s="25">
        <f>S62</f>
        <v>0.15972222222222218</v>
      </c>
      <c r="Y61" s="25"/>
      <c r="Z61" s="25"/>
      <c r="AA61" s="575"/>
      <c r="AB61" s="575"/>
      <c r="AC61" s="50">
        <v>6</v>
      </c>
      <c r="AD61" s="27"/>
      <c r="AE61" s="20">
        <f t="shared" si="43"/>
        <v>-114.35294117647027</v>
      </c>
      <c r="AF61" s="467">
        <f t="shared" si="9"/>
        <v>0.95235294117647074</v>
      </c>
      <c r="AG61" s="573">
        <f>AF67</f>
        <v>0.95545312113959446</v>
      </c>
    </row>
    <row r="62" spans="1:33" ht="15.75" customHeight="1">
      <c r="A62" s="578" t="s">
        <v>2941</v>
      </c>
      <c r="B62" s="472" t="s">
        <v>94</v>
      </c>
      <c r="C62" s="574" t="s">
        <v>125</v>
      </c>
      <c r="D62" s="574"/>
      <c r="E62" s="39">
        <v>19.02</v>
      </c>
      <c r="F62" s="472">
        <v>5000</v>
      </c>
      <c r="G62" s="468">
        <f t="shared" si="45"/>
        <v>95100</v>
      </c>
      <c r="H62" s="48">
        <v>2</v>
      </c>
      <c r="I62" s="469">
        <v>14</v>
      </c>
      <c r="J62" s="43">
        <v>2400</v>
      </c>
      <c r="K62" s="18">
        <f t="shared" si="1"/>
        <v>171.42857142857142</v>
      </c>
      <c r="L62" s="469">
        <v>14</v>
      </c>
      <c r="M62" s="19">
        <f t="shared" si="46"/>
        <v>2290.0763358778631</v>
      </c>
      <c r="N62" s="18">
        <f t="shared" si="3"/>
        <v>163.57688113413309</v>
      </c>
      <c r="O62" s="20">
        <f t="shared" si="4"/>
        <v>0</v>
      </c>
      <c r="P62" s="21">
        <f t="shared" si="5"/>
        <v>-7.8516902944383276</v>
      </c>
      <c r="Q62" s="467">
        <f t="shared" si="6"/>
        <v>0.95419847328244312</v>
      </c>
      <c r="R62" s="573"/>
      <c r="S62" s="49">
        <v>0.15972222222222218</v>
      </c>
      <c r="T62" s="49">
        <v>0.25069444444444439</v>
      </c>
      <c r="U62" s="468">
        <f t="shared" ref="U62:U66" si="48">(S62-T61)*24*60</f>
        <v>24.99999999999995</v>
      </c>
      <c r="V62" s="470">
        <f t="shared" si="47"/>
        <v>130.99999999999997</v>
      </c>
      <c r="W62" s="25"/>
      <c r="X62" s="25"/>
      <c r="Y62" s="25"/>
      <c r="Z62" s="25"/>
      <c r="AA62" s="575"/>
      <c r="AB62" s="575"/>
      <c r="AC62" s="50"/>
      <c r="AD62" s="27"/>
      <c r="AE62" s="20">
        <f t="shared" si="43"/>
        <v>-109.92366412213687</v>
      </c>
      <c r="AF62" s="467">
        <f t="shared" si="9"/>
        <v>0.954198473282443</v>
      </c>
      <c r="AG62" s="573"/>
    </row>
    <row r="63" spans="1:33" ht="15.75" customHeight="1">
      <c r="A63" s="578" t="s">
        <v>2941</v>
      </c>
      <c r="B63" s="472" t="s">
        <v>94</v>
      </c>
      <c r="C63" s="574" t="s">
        <v>99</v>
      </c>
      <c r="D63" s="574"/>
      <c r="E63" s="39">
        <v>20.36</v>
      </c>
      <c r="F63" s="472">
        <v>4252</v>
      </c>
      <c r="G63" s="468">
        <f t="shared" si="45"/>
        <v>86570.72</v>
      </c>
      <c r="H63" s="48" t="s">
        <v>126</v>
      </c>
      <c r="I63" s="469">
        <v>17</v>
      </c>
      <c r="J63" s="43">
        <v>2400</v>
      </c>
      <c r="K63" s="18">
        <f t="shared" si="1"/>
        <v>141.1764705882353</v>
      </c>
      <c r="L63" s="469">
        <v>17</v>
      </c>
      <c r="M63" s="19">
        <f t="shared" si="46"/>
        <v>2298.3783783783783</v>
      </c>
      <c r="N63" s="18">
        <f t="shared" si="3"/>
        <v>135.1987281399046</v>
      </c>
      <c r="O63" s="20">
        <f t="shared" si="4"/>
        <v>0</v>
      </c>
      <c r="P63" s="21">
        <f t="shared" si="5"/>
        <v>-5.9777424483307016</v>
      </c>
      <c r="Q63" s="467">
        <f t="shared" si="6"/>
        <v>0.95765765765765754</v>
      </c>
      <c r="R63" s="573"/>
      <c r="S63" s="49">
        <v>0.2541666666666666</v>
      </c>
      <c r="T63" s="49">
        <v>0.33124999999999993</v>
      </c>
      <c r="U63" s="468">
        <f t="shared" si="48"/>
        <v>4.9999999999999822</v>
      </c>
      <c r="V63" s="470">
        <f t="shared" si="47"/>
        <v>111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-101.62162162162167</v>
      </c>
      <c r="AF63" s="467">
        <f t="shared" si="9"/>
        <v>0.95765765765765765</v>
      </c>
      <c r="AG63" s="573"/>
    </row>
    <row r="64" spans="1:33" ht="15.75" customHeight="1">
      <c r="A64" s="578" t="s">
        <v>71</v>
      </c>
      <c r="B64" s="472" t="s">
        <v>94</v>
      </c>
      <c r="C64" s="574" t="s">
        <v>123</v>
      </c>
      <c r="D64" s="574"/>
      <c r="E64" s="39">
        <v>20.21</v>
      </c>
      <c r="F64" s="472">
        <v>2776</v>
      </c>
      <c r="G64" s="468">
        <f t="shared" si="45"/>
        <v>56102.96</v>
      </c>
      <c r="H64" s="48" t="s">
        <v>126</v>
      </c>
      <c r="I64" s="469">
        <v>15</v>
      </c>
      <c r="J64" s="43">
        <v>2400</v>
      </c>
      <c r="K64" s="18">
        <f t="shared" si="1"/>
        <v>160</v>
      </c>
      <c r="L64" s="469">
        <v>15</v>
      </c>
      <c r="M64" s="19">
        <f t="shared" si="46"/>
        <v>2313.3333333333339</v>
      </c>
      <c r="N64" s="18">
        <f t="shared" si="3"/>
        <v>154.22222222222226</v>
      </c>
      <c r="O64" s="20">
        <f t="shared" si="4"/>
        <v>0</v>
      </c>
      <c r="P64" s="21">
        <f t="shared" si="5"/>
        <v>-5.777777777777743</v>
      </c>
      <c r="Q64" s="467">
        <f t="shared" si="6"/>
        <v>0.96388888888888913</v>
      </c>
      <c r="R64" s="573"/>
      <c r="S64" s="49">
        <v>0.33611111111111103</v>
      </c>
      <c r="T64" s="49">
        <v>0.38611111111111102</v>
      </c>
      <c r="U64" s="468">
        <f t="shared" si="48"/>
        <v>6.9999999999999751</v>
      </c>
      <c r="V64" s="470">
        <f t="shared" si="47"/>
        <v>71.999999999999986</v>
      </c>
      <c r="W64" s="25"/>
      <c r="X64" s="25"/>
      <c r="Y64" s="25"/>
      <c r="Z64" s="25"/>
      <c r="AA64" s="575"/>
      <c r="AB64" s="575"/>
      <c r="AC64" s="50"/>
      <c r="AD64" s="27"/>
      <c r="AE64" s="20">
        <f t="shared" si="43"/>
        <v>-86.66666666666606</v>
      </c>
      <c r="AF64" s="467">
        <f t="shared" si="9"/>
        <v>0.96388888888888913</v>
      </c>
      <c r="AG64" s="573"/>
    </row>
    <row r="65" spans="1:33" ht="15.75" customHeight="1">
      <c r="A65" s="578" t="s">
        <v>2941</v>
      </c>
      <c r="B65" s="472" t="s">
        <v>94</v>
      </c>
      <c r="C65" s="574" t="s">
        <v>1954</v>
      </c>
      <c r="D65" s="574"/>
      <c r="E65" s="39">
        <v>20.21</v>
      </c>
      <c r="F65" s="472">
        <v>5330</v>
      </c>
      <c r="G65" s="468">
        <f t="shared" si="45"/>
        <v>107719.3</v>
      </c>
      <c r="H65" s="48" t="s">
        <v>126</v>
      </c>
      <c r="I65" s="469">
        <v>18</v>
      </c>
      <c r="J65" s="43">
        <v>2400</v>
      </c>
      <c r="K65" s="18">
        <f t="shared" si="1"/>
        <v>133.33333333333334</v>
      </c>
      <c r="L65" s="469">
        <v>18</v>
      </c>
      <c r="M65" s="19">
        <f t="shared" si="46"/>
        <v>2284.2857142857147</v>
      </c>
      <c r="N65" s="18">
        <f t="shared" si="3"/>
        <v>126.90476190476193</v>
      </c>
      <c r="O65" s="20">
        <f t="shared" si="4"/>
        <v>0</v>
      </c>
      <c r="P65" s="21">
        <f t="shared" si="5"/>
        <v>-6.4285714285714164</v>
      </c>
      <c r="Q65" s="467">
        <f t="shared" si="6"/>
        <v>0.95178571428571435</v>
      </c>
      <c r="R65" s="573"/>
      <c r="S65" s="49">
        <v>0.38958333333333323</v>
      </c>
      <c r="T65" s="49">
        <v>0.48680555555555544</v>
      </c>
      <c r="U65" s="468">
        <f t="shared" si="48"/>
        <v>4.9999999999999822</v>
      </c>
      <c r="V65" s="470">
        <f t="shared" si="47"/>
        <v>139.99999999999997</v>
      </c>
      <c r="W65" s="25">
        <f>T65</f>
        <v>0.48680555555555544</v>
      </c>
      <c r="X65" s="25">
        <f>S66</f>
        <v>0.52777777777777768</v>
      </c>
      <c r="Y65" s="25"/>
      <c r="Z65" s="25"/>
      <c r="AA65" s="575"/>
      <c r="AB65" s="575"/>
      <c r="AC65" s="50"/>
      <c r="AD65" s="27"/>
      <c r="AE65" s="20">
        <f t="shared" si="43"/>
        <v>-115.71428571428532</v>
      </c>
      <c r="AF65" s="467">
        <f t="shared" si="9"/>
        <v>0.95178571428571446</v>
      </c>
      <c r="AG65" s="573"/>
    </row>
    <row r="66" spans="1:33" ht="15.75" customHeight="1">
      <c r="A66" s="578" t="s">
        <v>2941</v>
      </c>
      <c r="B66" s="472" t="s">
        <v>94</v>
      </c>
      <c r="C66" s="574" t="s">
        <v>125</v>
      </c>
      <c r="D66" s="574"/>
      <c r="E66" s="39">
        <v>19.02</v>
      </c>
      <c r="F66" s="472">
        <v>3697</v>
      </c>
      <c r="G66" s="468">
        <f t="shared" si="45"/>
        <v>70316.94</v>
      </c>
      <c r="H66" s="48" t="s">
        <v>126</v>
      </c>
      <c r="I66" s="469">
        <v>14</v>
      </c>
      <c r="J66" s="43">
        <v>2400</v>
      </c>
      <c r="K66" s="18">
        <f t="shared" si="1"/>
        <v>171.42857142857142</v>
      </c>
      <c r="L66" s="469">
        <v>14</v>
      </c>
      <c r="M66" s="19">
        <f t="shared" si="46"/>
        <v>2286.8041237113407</v>
      </c>
      <c r="N66" s="18">
        <f t="shared" si="3"/>
        <v>163.34315169366718</v>
      </c>
      <c r="O66" s="20">
        <f t="shared" si="4"/>
        <v>0</v>
      </c>
      <c r="P66" s="21">
        <f t="shared" si="5"/>
        <v>-8.0854197349042352</v>
      </c>
      <c r="Q66" s="467">
        <f t="shared" si="6"/>
        <v>0.95283505154639192</v>
      </c>
      <c r="R66" s="573"/>
      <c r="S66" s="49">
        <v>0.52777777777777768</v>
      </c>
      <c r="T66" s="49">
        <v>0.59513888888888877</v>
      </c>
      <c r="U66" s="468">
        <f t="shared" si="48"/>
        <v>59.000000000000028</v>
      </c>
      <c r="V66" s="470">
        <f t="shared" si="47"/>
        <v>96.999999999999972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-113.19587628865929</v>
      </c>
      <c r="AF66" s="467">
        <f t="shared" si="9"/>
        <v>0.95283505154639192</v>
      </c>
      <c r="AG66" s="573"/>
    </row>
    <row r="67" spans="1:33" ht="16.5" customHeight="1">
      <c r="A67" s="579" t="s">
        <v>71</v>
      </c>
      <c r="B67" s="39" t="s">
        <v>46</v>
      </c>
      <c r="C67" s="570"/>
      <c r="D67" s="571"/>
      <c r="E67" s="473"/>
      <c r="F67" s="42"/>
      <c r="G67" s="18"/>
      <c r="H67" s="472"/>
      <c r="I67" s="32">
        <v>15.5</v>
      </c>
      <c r="J67" s="43">
        <v>2400</v>
      </c>
      <c r="K67" s="18">
        <f t="shared" si="1"/>
        <v>154.83870967741936</v>
      </c>
      <c r="L67" s="32">
        <v>15.5</v>
      </c>
      <c r="M67" s="19">
        <f>AVERAGE(M61:M66)</f>
        <v>2293.0874907350267</v>
      </c>
      <c r="N67" s="18">
        <f t="shared" si="3"/>
        <v>147.94112843451785</v>
      </c>
      <c r="O67" s="20">
        <f t="shared" si="4"/>
        <v>0</v>
      </c>
      <c r="P67" s="21">
        <f t="shared" si="5"/>
        <v>-6.8975812429015093</v>
      </c>
      <c r="Q67" s="467">
        <f t="shared" si="6"/>
        <v>0.95545312113959446</v>
      </c>
      <c r="R67" s="573"/>
      <c r="S67" s="49"/>
      <c r="T67" s="49"/>
      <c r="U67" s="18"/>
      <c r="V67" s="470"/>
      <c r="W67" s="18"/>
      <c r="X67" s="18"/>
      <c r="Y67" s="33">
        <f>SUM(Y61:Y66)</f>
        <v>0</v>
      </c>
      <c r="Z67" s="33">
        <f>SUM(Z61:Z66)</f>
        <v>0</v>
      </c>
      <c r="AA67" s="572"/>
      <c r="AB67" s="572"/>
      <c r="AC67" s="33">
        <v>6</v>
      </c>
      <c r="AD67" s="33">
        <f>SUM(AD61:AD66)</f>
        <v>0</v>
      </c>
      <c r="AE67" s="20">
        <f t="shared" si="43"/>
        <v>-106.91250926497332</v>
      </c>
      <c r="AF67" s="467">
        <f t="shared" si="9"/>
        <v>0.95545312113959446</v>
      </c>
      <c r="AG67" s="573"/>
    </row>
    <row r="68" spans="1:33">
      <c r="D68" s="35"/>
      <c r="E68" s="35"/>
    </row>
  </sheetData>
  <mergeCells count="18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4:AG19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19:D19"/>
    <mergeCell ref="AA19:AB19"/>
    <mergeCell ref="A20:A26"/>
    <mergeCell ref="C20:D20"/>
    <mergeCell ref="R20:R26"/>
    <mergeCell ref="AA20:AB20"/>
    <mergeCell ref="AA25:AB25"/>
    <mergeCell ref="A14:A19"/>
    <mergeCell ref="C14:D14"/>
    <mergeCell ref="R14:R19"/>
    <mergeCell ref="AA14:AB14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A27:A33"/>
    <mergeCell ref="C27:D27"/>
    <mergeCell ref="R27:R33"/>
    <mergeCell ref="AA27:AB27"/>
    <mergeCell ref="AA32:AB32"/>
    <mergeCell ref="C33:D33"/>
    <mergeCell ref="AA33:AB33"/>
    <mergeCell ref="AG34:AG41"/>
    <mergeCell ref="C35:D35"/>
    <mergeCell ref="AA35:AB35"/>
    <mergeCell ref="C36:D36"/>
    <mergeCell ref="AA36:AB36"/>
    <mergeCell ref="C37:D37"/>
    <mergeCell ref="AG27:AG33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C41:D41"/>
    <mergeCell ref="AA41:AB41"/>
    <mergeCell ref="A42:A46"/>
    <mergeCell ref="C42:D42"/>
    <mergeCell ref="R42:R46"/>
    <mergeCell ref="AA42:AB42"/>
    <mergeCell ref="AA37:AB37"/>
    <mergeCell ref="C38:D38"/>
    <mergeCell ref="AA38:AB38"/>
    <mergeCell ref="C39:D39"/>
    <mergeCell ref="AA39:AB39"/>
    <mergeCell ref="C40:D40"/>
    <mergeCell ref="AA40:AB40"/>
    <mergeCell ref="A34:A41"/>
    <mergeCell ref="C34:D34"/>
    <mergeCell ref="R34:R41"/>
    <mergeCell ref="AA34:AB34"/>
    <mergeCell ref="AG42:AG46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A47:A54"/>
    <mergeCell ref="C47:D47"/>
    <mergeCell ref="R47:R54"/>
    <mergeCell ref="AA47:AB47"/>
    <mergeCell ref="AG47:AG54"/>
    <mergeCell ref="C48:D48"/>
    <mergeCell ref="AA48:AB48"/>
    <mergeCell ref="C49:D49"/>
    <mergeCell ref="AA49:AB49"/>
    <mergeCell ref="AA50:AB50"/>
    <mergeCell ref="AG55:AG60"/>
    <mergeCell ref="C56:D56"/>
    <mergeCell ref="AA56:AB56"/>
    <mergeCell ref="C57:D57"/>
    <mergeCell ref="AA57:AB57"/>
    <mergeCell ref="C58:D58"/>
    <mergeCell ref="AA51:AB51"/>
    <mergeCell ref="C52:D52"/>
    <mergeCell ref="AA52:AB52"/>
    <mergeCell ref="C53:D53"/>
    <mergeCell ref="AA53:AB53"/>
    <mergeCell ref="C54:D54"/>
    <mergeCell ref="AA54:AB54"/>
    <mergeCell ref="AA58:AB58"/>
    <mergeCell ref="C59:D59"/>
    <mergeCell ref="AA59:AB59"/>
    <mergeCell ref="C60:D60"/>
    <mergeCell ref="AA60:AB60"/>
    <mergeCell ref="A61:A67"/>
    <mergeCell ref="C61:D61"/>
    <mergeCell ref="R61:R67"/>
    <mergeCell ref="AA61:AB61"/>
    <mergeCell ref="AA66:AB66"/>
    <mergeCell ref="A55:A60"/>
    <mergeCell ref="C55:D55"/>
    <mergeCell ref="R55:R60"/>
    <mergeCell ref="AA55:AB55"/>
    <mergeCell ref="C67:D67"/>
    <mergeCell ref="AA67:AB67"/>
    <mergeCell ref="AG61:AG67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</mergeCells>
  <phoneticPr fontId="3" type="noConversion"/>
  <conditionalFormatting sqref="O54:O55 O5:O9 O13:O15 O19:O52 O58:O67">
    <cfRule type="cellIs" dxfId="1731" priority="41" operator="greaterThan">
      <formula>0</formula>
    </cfRule>
  </conditionalFormatting>
  <conditionalFormatting sqref="P5:P7 P58:P59 AE58:AE59 P27:P32 P55 P9 P13:P15 P20:P25 P47:P52 P34:P45 AE5:AE55 P61:P66 AE61:AE67">
    <cfRule type="cellIs" dxfId="1730" priority="45" operator="lessThan">
      <formula>0</formula>
    </cfRule>
  </conditionalFormatting>
  <conditionalFormatting sqref="AF58:AF59 Q54:Q55 Q5:Q9 Q13:Q15 Q19:Q52 AF5:AF55 Q58:Q67 AF61:AF67">
    <cfRule type="cellIs" dxfId="1729" priority="42" operator="greaterThan">
      <formula>1</formula>
    </cfRule>
    <cfRule type="cellIs" dxfId="1728" priority="43" operator="lessThan">
      <formula>0.8</formula>
    </cfRule>
  </conditionalFormatting>
  <conditionalFormatting sqref="AG14:AG15 R14:R15 AG58 AG54:AG55 R54:R55 AG5:AG9 R5:R9 R19:R52 AG19:AG52 R58:R67">
    <cfRule type="cellIs" dxfId="1727" priority="47" operator="lessThan">
      <formula>0.8</formula>
    </cfRule>
  </conditionalFormatting>
  <conditionalFormatting sqref="AG42">
    <cfRule type="cellIs" dxfId="1726" priority="49" operator="lessThan">
      <formula>0.8</formula>
    </cfRule>
  </conditionalFormatting>
  <conditionalFormatting sqref="AG20:AG25">
    <cfRule type="cellIs" dxfId="1725" priority="46" operator="lessThan">
      <formula>0.8</formula>
    </cfRule>
  </conditionalFormatting>
  <conditionalFormatting sqref="AG27">
    <cfRule type="cellIs" dxfId="1724" priority="48" operator="lessThan">
      <formula>0.8</formula>
    </cfRule>
  </conditionalFormatting>
  <conditionalFormatting sqref="AG34:AG40">
    <cfRule type="cellIs" dxfId="1723" priority="44" operator="lessThan">
      <formula>0.8</formula>
    </cfRule>
  </conditionalFormatting>
  <conditionalFormatting sqref="AE60">
    <cfRule type="cellIs" dxfId="1722" priority="40" operator="lessThan">
      <formula>0</formula>
    </cfRule>
  </conditionalFormatting>
  <conditionalFormatting sqref="AF60">
    <cfRule type="cellIs" dxfId="1721" priority="38" operator="greaterThan">
      <formula>1</formula>
    </cfRule>
    <cfRule type="cellIs" dxfId="1720" priority="39" operator="lessThan">
      <formula>0.8</formula>
    </cfRule>
  </conditionalFormatting>
  <conditionalFormatting sqref="O16:O17">
    <cfRule type="cellIs" dxfId="1719" priority="33" operator="greaterThan">
      <formula>0</formula>
    </cfRule>
  </conditionalFormatting>
  <conditionalFormatting sqref="P16:P17">
    <cfRule type="cellIs" dxfId="1718" priority="36" operator="lessThan">
      <formula>0</formula>
    </cfRule>
  </conditionalFormatting>
  <conditionalFormatting sqref="Q16:Q17">
    <cfRule type="cellIs" dxfId="1717" priority="34" operator="greaterThan">
      <formula>1</formula>
    </cfRule>
    <cfRule type="cellIs" dxfId="1716" priority="35" operator="lessThan">
      <formula>0.8</formula>
    </cfRule>
  </conditionalFormatting>
  <conditionalFormatting sqref="R16:R17 AG16:AG17">
    <cfRule type="cellIs" dxfId="1715" priority="37" operator="lessThan">
      <formula>0.8</formula>
    </cfRule>
  </conditionalFormatting>
  <conditionalFormatting sqref="O10:O12">
    <cfRule type="cellIs" dxfId="1714" priority="29" operator="greaterThan">
      <formula>0</formula>
    </cfRule>
  </conditionalFormatting>
  <conditionalFormatting sqref="P10:P12">
    <cfRule type="cellIs" dxfId="1713" priority="32" operator="lessThan">
      <formula>0</formula>
    </cfRule>
  </conditionalFormatting>
  <conditionalFormatting sqref="Q10:Q12">
    <cfRule type="cellIs" dxfId="1712" priority="30" operator="greaterThan">
      <formula>1</formula>
    </cfRule>
    <cfRule type="cellIs" dxfId="1711" priority="31" operator="lessThan">
      <formula>0.8</formula>
    </cfRule>
  </conditionalFormatting>
  <conditionalFormatting sqref="O53">
    <cfRule type="cellIs" dxfId="1710" priority="24" operator="greaterThan">
      <formula>0</formula>
    </cfRule>
  </conditionalFormatting>
  <conditionalFormatting sqref="P53">
    <cfRule type="cellIs" dxfId="1709" priority="27" operator="lessThan">
      <formula>0</formula>
    </cfRule>
  </conditionalFormatting>
  <conditionalFormatting sqref="Q53">
    <cfRule type="cellIs" dxfId="1708" priority="25" operator="greaterThan">
      <formula>1</formula>
    </cfRule>
    <cfRule type="cellIs" dxfId="1707" priority="26" operator="lessThan">
      <formula>0.8</formula>
    </cfRule>
  </conditionalFormatting>
  <conditionalFormatting sqref="R53 AG53">
    <cfRule type="cellIs" dxfId="1706" priority="28" operator="lessThan">
      <formula>0.8</formula>
    </cfRule>
  </conditionalFormatting>
  <conditionalFormatting sqref="O57">
    <cfRule type="cellIs" dxfId="1705" priority="19" operator="greaterThan">
      <formula>0</formula>
    </cfRule>
  </conditionalFormatting>
  <conditionalFormatting sqref="P57 AE57">
    <cfRule type="cellIs" dxfId="1704" priority="22" operator="lessThan">
      <formula>0</formula>
    </cfRule>
  </conditionalFormatting>
  <conditionalFormatting sqref="Q57 AF57">
    <cfRule type="cellIs" dxfId="1703" priority="20" operator="greaterThan">
      <formula>1</formula>
    </cfRule>
    <cfRule type="cellIs" dxfId="1702" priority="21" operator="lessThan">
      <formula>0.8</formula>
    </cfRule>
  </conditionalFormatting>
  <conditionalFormatting sqref="R57 AG57">
    <cfRule type="cellIs" dxfId="1701" priority="23" operator="lessThan">
      <formula>0.8</formula>
    </cfRule>
  </conditionalFormatting>
  <conditionalFormatting sqref="O18">
    <cfRule type="cellIs" dxfId="1700" priority="14" operator="greaterThan">
      <formula>0</formula>
    </cfRule>
  </conditionalFormatting>
  <conditionalFormatting sqref="P18">
    <cfRule type="cellIs" dxfId="1699" priority="17" operator="lessThan">
      <formula>0</formula>
    </cfRule>
  </conditionalFormatting>
  <conditionalFormatting sqref="Q18">
    <cfRule type="cellIs" dxfId="1698" priority="15" operator="greaterThan">
      <formula>1</formula>
    </cfRule>
    <cfRule type="cellIs" dxfId="1697" priority="16" operator="lessThan">
      <formula>0.8</formula>
    </cfRule>
  </conditionalFormatting>
  <conditionalFormatting sqref="R18 AG18">
    <cfRule type="cellIs" dxfId="1696" priority="18" operator="lessThan">
      <formula>0.8</formula>
    </cfRule>
  </conditionalFormatting>
  <conditionalFormatting sqref="O56">
    <cfRule type="cellIs" dxfId="1695" priority="9" operator="greaterThan">
      <formula>0</formula>
    </cfRule>
  </conditionalFormatting>
  <conditionalFormatting sqref="P56 AE56">
    <cfRule type="cellIs" dxfId="1694" priority="12" operator="lessThan">
      <formula>0</formula>
    </cfRule>
  </conditionalFormatting>
  <conditionalFormatting sqref="Q56 AF56">
    <cfRule type="cellIs" dxfId="1693" priority="10" operator="greaterThan">
      <formula>1</formula>
    </cfRule>
    <cfRule type="cellIs" dxfId="1692" priority="11" operator="lessThan">
      <formula>0.8</formula>
    </cfRule>
  </conditionalFormatting>
  <conditionalFormatting sqref="R56 AG56">
    <cfRule type="cellIs" dxfId="1691" priority="13" operator="lessThan">
      <formula>0.8</formula>
    </cfRule>
  </conditionalFormatting>
  <conditionalFormatting sqref="P8">
    <cfRule type="cellIs" dxfId="1690" priority="8" operator="lessThan">
      <formula>0</formula>
    </cfRule>
  </conditionalFormatting>
  <conditionalFormatting sqref="P19">
    <cfRule type="cellIs" dxfId="1689" priority="7" operator="lessThan">
      <formula>0</formula>
    </cfRule>
  </conditionalFormatting>
  <conditionalFormatting sqref="P26">
    <cfRule type="cellIs" dxfId="1688" priority="6" operator="lessThan">
      <formula>0</formula>
    </cfRule>
  </conditionalFormatting>
  <conditionalFormatting sqref="P33">
    <cfRule type="cellIs" dxfId="1687" priority="5" operator="lessThan">
      <formula>0</formula>
    </cfRule>
  </conditionalFormatting>
  <conditionalFormatting sqref="P46">
    <cfRule type="cellIs" dxfId="1686" priority="4" operator="lessThan">
      <formula>0</formula>
    </cfRule>
  </conditionalFormatting>
  <conditionalFormatting sqref="P54">
    <cfRule type="cellIs" dxfId="1685" priority="3" operator="lessThan">
      <formula>0</formula>
    </cfRule>
  </conditionalFormatting>
  <conditionalFormatting sqref="P60">
    <cfRule type="cellIs" dxfId="1684" priority="2" operator="lessThan">
      <formula>0</formula>
    </cfRule>
  </conditionalFormatting>
  <conditionalFormatting sqref="P67">
    <cfRule type="cellIs" dxfId="1683" priority="1" operator="lessThan">
      <formula>0</formula>
    </cfRule>
  </conditionalFormatting>
  <dataValidations count="1">
    <dataValidation type="list" allowBlank="1" showInputMessage="1" showErrorMessage="1" sqref="AB8 AA5:AB7 AB59 AB10:AB55 AA8:AA59 AA60:AB6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4" zoomScale="85" zoomScaleNormal="85" workbookViewId="0">
      <selection activeCell="S17" sqref="S16:S17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2942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2943</v>
      </c>
      <c r="C3" s="555" t="str">
        <f>TEXT('0529 4度C'!A2,"yyyy.mm.ddaaaa")</f>
        <v>2026.05.29星期五</v>
      </c>
      <c r="D3" s="556"/>
      <c r="E3" s="54" t="s">
        <v>2944</v>
      </c>
      <c r="F3" s="557">
        <f>'0529 4度C'!D1</f>
        <v>146475</v>
      </c>
      <c r="G3" s="558"/>
      <c r="H3" s="54" t="s">
        <v>2945</v>
      </c>
      <c r="I3" s="559">
        <f>'0529 4度C'!F1</f>
        <v>4966653.3</v>
      </c>
      <c r="J3" s="560"/>
      <c r="K3" s="55"/>
      <c r="L3" s="56"/>
      <c r="M3" s="57"/>
      <c r="N3" s="57"/>
    </row>
    <row r="4" spans="2:17" ht="28.5" customHeight="1">
      <c r="B4" s="561" t="s">
        <v>2946</v>
      </c>
      <c r="C4" s="547" t="s">
        <v>2947</v>
      </c>
      <c r="D4" s="548"/>
      <c r="E4" s="564" t="s">
        <v>2948</v>
      </c>
      <c r="F4" s="565"/>
      <c r="G4" s="564" t="s">
        <v>2949</v>
      </c>
      <c r="H4" s="565"/>
      <c r="I4" s="564" t="s">
        <v>2950</v>
      </c>
      <c r="J4" s="565"/>
      <c r="K4" s="545" t="s">
        <v>2951</v>
      </c>
      <c r="L4" s="546"/>
      <c r="M4" s="546" t="s">
        <v>2952</v>
      </c>
      <c r="N4" s="546"/>
    </row>
    <row r="5" spans="2:17" ht="28.5" customHeight="1">
      <c r="B5" s="562"/>
      <c r="C5" s="547" t="s">
        <v>2953</v>
      </c>
      <c r="D5" s="548"/>
      <c r="E5" s="547" t="s">
        <v>2954</v>
      </c>
      <c r="F5" s="548"/>
      <c r="G5" s="549" t="s">
        <v>2955</v>
      </c>
      <c r="H5" s="550"/>
      <c r="I5" s="551" t="s">
        <v>2956</v>
      </c>
      <c r="J5" s="552"/>
      <c r="K5" s="58" t="s">
        <v>2957</v>
      </c>
      <c r="L5" s="59" t="s">
        <v>2958</v>
      </c>
      <c r="M5" s="58" t="s">
        <v>2957</v>
      </c>
      <c r="N5" s="59" t="s">
        <v>2959</v>
      </c>
    </row>
    <row r="6" spans="2:17" ht="28.5" customHeight="1">
      <c r="B6" s="562"/>
      <c r="C6" s="547" t="s">
        <v>145</v>
      </c>
      <c r="D6" s="548"/>
      <c r="E6" s="539">
        <f>AVERAGE(D13:M13)</f>
        <v>153.82203512362778</v>
      </c>
      <c r="F6" s="540">
        <f>AVERAGE(D31:O31,D13:J13)</f>
        <v>160.47430044247429</v>
      </c>
      <c r="G6" s="541">
        <f>AVERAGE(D13:J13)</f>
        <v>160.47430044247429</v>
      </c>
      <c r="H6" s="542"/>
      <c r="I6" s="541">
        <f>AVERAGE(K13:M13)</f>
        <v>138.30008271298595</v>
      </c>
      <c r="J6" s="542"/>
      <c r="K6" s="543">
        <f>'0529 4度C'!Y2</f>
        <v>0</v>
      </c>
      <c r="L6" s="528">
        <f>'0529 4度C'!Z2</f>
        <v>0</v>
      </c>
      <c r="M6" s="544">
        <f>'0529 4度C'!AC2</f>
        <v>53</v>
      </c>
      <c r="N6" s="528">
        <f>'0529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147.42325260993249</v>
      </c>
      <c r="F7" s="532">
        <f>AVERAGE(D32:O32,D14:J14)</f>
        <v>153.88611281270818</v>
      </c>
      <c r="G7" s="533">
        <f>AVERAGE(D14:J14)</f>
        <v>153.88611281270818</v>
      </c>
      <c r="H7" s="534"/>
      <c r="I7" s="533">
        <f>AVERAGE(K14:M14)</f>
        <v>132.34324547012258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0.9577973274325412</v>
      </c>
      <c r="F8" s="536">
        <f>AVERAGE(D15:J15,D33:O33)</f>
        <v>0.9580751890995548</v>
      </c>
      <c r="G8" s="537">
        <f>AVERAGE(D15:J15)</f>
        <v>0.9580751890995548</v>
      </c>
      <c r="H8" s="538"/>
      <c r="I8" s="537">
        <f>AVERAGE(K15:M15)</f>
        <v>0.95714898354284339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2960</v>
      </c>
      <c r="N9" s="57"/>
      <c r="O9" s="57"/>
      <c r="P9" s="57"/>
      <c r="Q9" s="57"/>
    </row>
    <row r="10" spans="2:17" ht="30" customHeight="1">
      <c r="B10" s="511" t="s">
        <v>2961</v>
      </c>
      <c r="C10" s="512"/>
      <c r="D10" s="513" t="s">
        <v>2962</v>
      </c>
      <c r="E10" s="514"/>
      <c r="F10" s="514"/>
      <c r="G10" s="514"/>
      <c r="H10" s="514"/>
      <c r="I10" s="514"/>
      <c r="J10" s="515"/>
      <c r="K10" s="516" t="s">
        <v>2963</v>
      </c>
      <c r="L10" s="517"/>
      <c r="M10" s="518"/>
      <c r="P10" s="63"/>
      <c r="Q10" s="63"/>
    </row>
    <row r="11" spans="2:17" ht="17.25" customHeight="1">
      <c r="B11" s="519" t="s">
        <v>2964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2965</v>
      </c>
      <c r="C13" s="70" t="s">
        <v>2966</v>
      </c>
      <c r="D13" s="71">
        <f>SUMIFS('0529 4度C'!$K:$K,'0529 4度C'!$A:$A,"新豐6線",'0529 4度C'!$B:$B,"平均")</f>
        <v>130.43478260869566</v>
      </c>
      <c r="E13" s="72">
        <f>SUMIFS('0529 4度C'!$K:$K,'0529 4度C'!$A:$A,"新豐2線",'0529 4度C'!$B:$B,"平均")</f>
        <v>86.956521739130437</v>
      </c>
      <c r="F13" s="73">
        <f>SUMIFS('0529 4度C'!$K:$K,'0529 4度C'!$A:$A,"新豐5線",'0529 4度C'!$B:$B,"平均")</f>
        <v>96.590909090909079</v>
      </c>
      <c r="G13" s="73">
        <f>SUMIFS('0529 4度C'!$K:$K,'0529 4度C'!$A:$A,"新豐7線",'0529 4度C'!$B:$B,"平均")</f>
        <v>125</v>
      </c>
      <c r="H13" s="73">
        <f>SUMIFS('0529 4度C'!$K:$K,'0529 4度C'!$A:$A,"新豐3線",'0529 4度C'!$B:$B,"平均")</f>
        <v>255.81395348837211</v>
      </c>
      <c r="I13" s="73">
        <f>SUMIFS('0529 4度C'!$K:$K,'0529 4度C'!$A:$A,"新豐1線",'0529 4度C'!$B:$B,"平均")</f>
        <v>109.375</v>
      </c>
      <c r="J13" s="74">
        <f>SUMIFS('0529 4度C'!$K:$K,'0529 4度C'!$A:$A,"新豐10線",'0529 4度C'!$B:$B,"平均")</f>
        <v>319.14893617021278</v>
      </c>
      <c r="K13" s="75">
        <f>SUMIFS('0529 4度C'!$K:$K,'0529 4度C'!$A:$A,"新豐8線",'0529 4度C'!$B:$B,"平均")</f>
        <v>138.46153846153848</v>
      </c>
      <c r="L13" s="76">
        <f>SUMIFS('0529 4度C'!$K:$K,'0529 4度C'!$A:$A,"新豐9線",'0529 4度C'!$B:$B,"平均")</f>
        <v>121.60000000000001</v>
      </c>
      <c r="M13" s="74">
        <f>SUMIFS('0529 4度C'!$K:$K,'0529 4度C'!$A:$A,"新豐4線",'0529 4度C'!$B:$B,"平均")</f>
        <v>154.83870967741936</v>
      </c>
    </row>
    <row r="14" spans="2:17" ht="39.6" customHeight="1">
      <c r="B14" s="524"/>
      <c r="C14" s="77" t="s">
        <v>2967</v>
      </c>
      <c r="D14" s="78">
        <f>SUMIFS('0529 4度C'!$N:$N,'0529 4度C'!$A:$A,"新豐6線",'0529 4度C'!$B:$B,"平均")</f>
        <v>125.08971704623882</v>
      </c>
      <c r="E14" s="79">
        <f>SUMIFS('0529 4度C'!$N:$N,'0529 4度C'!$A:$A,"新豐2線",'0529 4度C'!$B:$B,"平均")</f>
        <v>82.981543598310623</v>
      </c>
      <c r="F14" s="79">
        <f>SUMIFS('0529 4度C'!$N:$N,'0529 4度C'!$A:$A,"新豐5線",'0529 4度C'!$B:$B,"平均")</f>
        <v>92.365290490719516</v>
      </c>
      <c r="G14" s="79">
        <f>SUMIFS('0529 4度C'!$N:$N,'0529 4度C'!$A:$A,"新豐7線",'0529 4度C'!$B:$B,"平均")</f>
        <v>120.09059537430535</v>
      </c>
      <c r="H14" s="79">
        <f>SUMIFS('0529 4度C'!$N:$N,'0529 4度C'!$A:$A,"新豐3線",'0529 4度C'!$B:$B,"平均")</f>
        <v>244.05780481415724</v>
      </c>
      <c r="I14" s="79">
        <f>SUMIFS('0529 4度C'!$N:$N,'0529 4度C'!$A:$A,"新豐1線",'0529 4度C'!$B:$B,"平均")</f>
        <v>104.72158411884594</v>
      </c>
      <c r="J14" s="80">
        <f>SUMIFS('0529 4度C'!$N:$N,'0529 4度C'!$A:$A,"新豐10線",'0529 4度C'!$B:$B,"平均")</f>
        <v>307.89625424637961</v>
      </c>
      <c r="K14" s="81">
        <f>SUMIFS('0529 4度C'!$N:$N,'0529 4度C'!$A:$A,"新豐8線",'0529 4度C'!$B:$B,"平均")</f>
        <v>132.43631530688231</v>
      </c>
      <c r="L14" s="82">
        <f>SUMIFS('0529 4度C'!$N:$N,'0529 4度C'!$A:$A,"新豐9線",'0529 4度C'!$B:$B,"平均")</f>
        <v>116.76428893521266</v>
      </c>
      <c r="M14" s="80">
        <f>SUMIFS('0529 4度C'!$N:$N,'0529 4度C'!$A:$A,"新豐4線",'0529 4度C'!$B:$B,"平均")</f>
        <v>147.82913216827279</v>
      </c>
    </row>
    <row r="15" spans="2:17" ht="40.15" customHeight="1">
      <c r="B15" s="525"/>
      <c r="C15" s="83" t="s">
        <v>2968</v>
      </c>
      <c r="D15" s="84">
        <f t="shared" ref="D15:M15" si="0">D14/D13</f>
        <v>0.95902116402116422</v>
      </c>
      <c r="E15" s="85">
        <f t="shared" si="0"/>
        <v>0.95428775138057209</v>
      </c>
      <c r="F15" s="85">
        <f t="shared" si="0"/>
        <v>0.9562524191980375</v>
      </c>
      <c r="G15" s="85">
        <f t="shared" si="0"/>
        <v>0.96072476299444276</v>
      </c>
      <c r="H15" s="85">
        <f t="shared" si="0"/>
        <v>0.95404414609170551</v>
      </c>
      <c r="I15" s="85">
        <f t="shared" si="0"/>
        <v>0.95745448337230576</v>
      </c>
      <c r="J15" s="86">
        <f t="shared" si="0"/>
        <v>0.96474159663865611</v>
      </c>
      <c r="K15" s="84">
        <f t="shared" si="0"/>
        <v>0.95648449943859426</v>
      </c>
      <c r="L15" s="85">
        <f t="shared" si="0"/>
        <v>0.96023263926984093</v>
      </c>
      <c r="M15" s="86">
        <f t="shared" si="0"/>
        <v>0.95472981192009509</v>
      </c>
    </row>
    <row r="16" spans="2:17" ht="17.25" customHeight="1">
      <c r="B16" s="526" t="s">
        <v>2969</v>
      </c>
      <c r="C16" s="87" t="s">
        <v>2970</v>
      </c>
      <c r="D16" s="88">
        <f>VLOOKUP("新豐6線",'0529 4度C'!$A:$T,19,0)</f>
        <v>0.70833333333333337</v>
      </c>
      <c r="E16" s="89">
        <f>VLOOKUP("新豐2線",'0529 4度C'!$A:$T,19,0)</f>
        <v>8.3333333333333329E-2</v>
      </c>
      <c r="F16" s="89">
        <f>VLOOKUP("新豐5線",'0529 4度C'!$A:$T,19,0)</f>
        <v>0.20833333333333334</v>
      </c>
      <c r="G16" s="89">
        <f>VLOOKUP("新豐7線",'0529 4度C'!$A:$T,19,0)</f>
        <v>0.20833333333333334</v>
      </c>
      <c r="H16" s="89">
        <f>VLOOKUP("新豐3線",'0529 4度C'!$A:$T,19,0)</f>
        <v>8.3333333333333329E-2</v>
      </c>
      <c r="I16" s="89">
        <f>VLOOKUP("新豐1線",'0529 4度C'!$A:$T,19,0)</f>
        <v>0.20833333333333334</v>
      </c>
      <c r="J16" s="90">
        <f>VLOOKUP("新豐10線",'0529 4度C'!$A:$T,19,0)</f>
        <v>0.20833333333333334</v>
      </c>
      <c r="K16" s="91">
        <f>VLOOKUP("新豐8線",'0529 4度C'!$A:$T,19,0)</f>
        <v>8.3333333333333329E-2</v>
      </c>
      <c r="L16" s="92">
        <f>VLOOKUP("新豐9線",'0529 4度C'!$A:$T,19,0)</f>
        <v>8.3333333333333329E-2</v>
      </c>
      <c r="M16" s="93">
        <f>VLOOKUP("新豐4線",'0529 4度C'!$A:$T,19,0)</f>
        <v>8.3333333333333329E-2</v>
      </c>
    </row>
    <row r="17" spans="2:13" ht="17.25" customHeight="1">
      <c r="B17" s="527"/>
      <c r="C17" s="87" t="s">
        <v>2971</v>
      </c>
      <c r="D17" s="91">
        <f>LOOKUP(2,1/(('0529 4度C'!$A:$A="新豐6線")*('0529 4度C'!$T:$T&lt;&gt;"")),'0529 4度C'!$T:$T)</f>
        <v>0.82152777777777775</v>
      </c>
      <c r="E17" s="89">
        <f>LOOKUP(2,1/(('0529 4度C'!$A:$A="新豐2線")*('0529 4度C'!$T:$T&lt;&gt;"")),'0529 4度C'!$T:$T)</f>
        <v>0.60972222222222217</v>
      </c>
      <c r="F17" s="89">
        <f>LOOKUP(2,1/(('0529 4度C'!$A:$A="新豐5線")*('0529 4度C'!$T:$T&lt;&gt;"")),'0529 4度C'!$T:$T)</f>
        <v>0.80069444444444449</v>
      </c>
      <c r="G17" s="89">
        <f>LOOKUP(2,1/(('0529 4度C'!$A:$A="新豐7線")*('0529 4度C'!$T:$T&lt;&gt;"")),'0529 4度C'!$T:$T)</f>
        <v>0.77083333333333337</v>
      </c>
      <c r="H17" s="89">
        <f>LOOKUP(2,1/(('0529 4度C'!$A:$A="新豐3線")*('0529 4度C'!$T:$T&lt;&gt;"")),'0529 4度C'!$T:$T)</f>
        <v>0.34722222222222221</v>
      </c>
      <c r="I17" s="89">
        <f>LOOKUP(2,1/(('0529 4度C'!$A:$A="新豐1線")*('0529 4度C'!$T:$T&lt;&gt;"")),'0529 4度C'!$T:$T)</f>
        <v>0.81874999999999998</v>
      </c>
      <c r="J17" s="90">
        <f>LOOKUP(2,1/(('0529 4度C'!$A:$A="新豐10線")*('0529 4度C'!$T:$T&lt;&gt;"")),'0529 4度C'!$T:$T)</f>
        <v>0.36597222222222214</v>
      </c>
      <c r="K17" s="88">
        <f>LOOKUP(2,1/(('0529 4度C'!$A:$A="新豐8線")*('0529 4度C'!$T:$T&lt;&gt;"")),'0529 4度C'!$T:$T)</f>
        <v>0.59027777777777768</v>
      </c>
      <c r="L17" s="89">
        <f>LOOKUP(2,1/(('0529 4度C'!$A:$A="新豐9線")*('0529 4度C'!$T:$T&lt;&gt;"")),'0529 4度C'!$T:$T)</f>
        <v>0.62430555555555545</v>
      </c>
      <c r="M17" s="90">
        <f>LOOKUP(2,1/(('0529 4度C'!$A:$A="新豐4線")*('0529 4度C'!$T:$T&lt;&gt;"")),'0529 4度C'!$T:$T)</f>
        <v>0.58124999999999993</v>
      </c>
    </row>
    <row r="18" spans="2:13" ht="17.25" customHeight="1">
      <c r="B18" s="505" t="s">
        <v>2972</v>
      </c>
      <c r="C18" s="94" t="s">
        <v>2973</v>
      </c>
      <c r="D18" s="95">
        <f>SUMIFS('0529 4度C'!$Y:$Y,'0529 4度C'!$A:$A,"新豐6線",'0529 4度C'!$B:$B,"平均")</f>
        <v>0</v>
      </c>
      <c r="E18" s="96">
        <f>SUMIFS('0529 4度C'!$Y:$Y,'0529 4度C'!$A:$A,"新豐2線",'0529 4度C'!$B:$B,"平均")</f>
        <v>0</v>
      </c>
      <c r="F18" s="96">
        <f>SUMIFS('0529 4度C'!$Y:$Y,'0529 4度C'!$A:$A,"新豐5線",'0529 4度C'!$B:$B,"平均")</f>
        <v>0</v>
      </c>
      <c r="G18" s="96">
        <f>SUMIFS('0529 4度C'!$Y:$Y,'0529 4度C'!$A:$A,"新豐7線",'0529 4度C'!$B:$B,"平均")</f>
        <v>0</v>
      </c>
      <c r="H18" s="96">
        <f>SUMIFS('0529 4度C'!$Y:$Y,'0529 4度C'!$A:$A,"新豐3線",'0529 4度C'!$B:$B,"平均")</f>
        <v>0</v>
      </c>
      <c r="I18" s="96">
        <f>SUMIFS('0529 4度C'!$Y:$Y,'0529 4度C'!$A:$A,"新豐1線",'0529 4度C'!$B:$B,"平均")</f>
        <v>0</v>
      </c>
      <c r="J18" s="97">
        <f>SUMIFS('0529 4度C'!$Y:$Y,'0529 4度C'!$A:$A,"新豐10線",'0529 4度C'!$B:$B,"平均")</f>
        <v>0</v>
      </c>
      <c r="K18" s="98">
        <f>SUMIFS('0529 4度C'!$Y:$Y,'0529 4度C'!$A:$A,"新豐8線",'0529 4度C'!$B:$B,"平均")</f>
        <v>0</v>
      </c>
      <c r="L18" s="96">
        <f>SUMIFS('0529 4度C'!$Y:$Y,'0529 4度C'!$A:$A,"新豐9線",'0529 4度C'!$B:$B,"平均")</f>
        <v>0</v>
      </c>
      <c r="M18" s="97">
        <f>SUMIFS('0529 4度C'!$Y:$Y,'0529 4度C'!$A:$A,"新豐4線",'0529 4度C'!$B:$B,"平均")</f>
        <v>0</v>
      </c>
    </row>
    <row r="19" spans="2:13" ht="17.25" customHeight="1">
      <c r="B19" s="506"/>
      <c r="C19" s="94" t="s">
        <v>2974</v>
      </c>
      <c r="D19" s="95">
        <f>SUMIFS('0529 4度C'!$Z:$Z,'0529 4度C'!$A:$A,"新豐6線",'0529 4度C'!$B:$B,"平均")</f>
        <v>0</v>
      </c>
      <c r="E19" s="96">
        <f>SUMIFS('0529 4度C'!$Z:$Z,'0529 4度C'!$A:$A,"新豐2線",'0529 4度C'!$B:$B,"平均")</f>
        <v>0</v>
      </c>
      <c r="F19" s="96">
        <f>SUMIFS('0529 4度C'!$Z:$Z,'0529 4度C'!$A:$A,"新豐5線",'0529 4度C'!$B:$B,"平均")</f>
        <v>0</v>
      </c>
      <c r="G19" s="96">
        <f>SUMIFS('0529 4度C'!$Z:$Z,'0529 4度C'!$A:$A,"新豐7線",'0529 4度C'!$B:$B,"平均")</f>
        <v>0</v>
      </c>
      <c r="H19" s="96">
        <f>SUMIFS('0529 4度C'!$Z:$Z,'0529 4度C'!$A:$A,"新豐3線",'0529 4度C'!$B:$B,"平均")</f>
        <v>0</v>
      </c>
      <c r="I19" s="96">
        <f>SUMIFS('0529 4度C'!$Z:$Z,'0529 4度C'!$A:$A,"新豐1線",'0529 4度C'!$B:$B,"平均")</f>
        <v>0</v>
      </c>
      <c r="J19" s="97">
        <f>SUMIFS('0529 4度C'!$Z:$Z,'0529 4度C'!$A:$A,"新豐10線",'0529 4度C'!$B:$B,"平均")</f>
        <v>0</v>
      </c>
      <c r="K19" s="98">
        <f>SUMIFS('0529 4度C'!$Z:$Z,'0529 4度C'!$A:$A,"新豐8線",'0529 4度C'!$B:$B,"平均")</f>
        <v>0</v>
      </c>
      <c r="L19" s="96">
        <f>SUMIFS('0529 4度C'!$Z:$Z,'0529 4度C'!$A:$A,"新豐9線",'0529 4度C'!$B:$B,"平均")</f>
        <v>0</v>
      </c>
      <c r="M19" s="97">
        <f>SUMIFS('0529 4度C'!$Z:$Z,'0529 4度C'!$A:$A,"新豐4線",'0529 4度C'!$B:$B,"平均")</f>
        <v>0</v>
      </c>
    </row>
    <row r="20" spans="2:13" ht="17.25" customHeight="1">
      <c r="B20" s="505" t="s">
        <v>2975</v>
      </c>
      <c r="C20" s="94" t="s">
        <v>2973</v>
      </c>
      <c r="D20" s="95">
        <f>SUMIFS('0529 4度C'!$AC:$AC,'0529 4度C'!$A:$A,"新豐6線",'0529 4度C'!$B:$B,"平均")</f>
        <v>3</v>
      </c>
      <c r="E20" s="96">
        <f>SUMIFS('0529 4度C'!$AC:$AC,'0529 4度C'!$A:$A,"新豐2線",'0529 4度C'!$B:$B,"平均")</f>
        <v>4</v>
      </c>
      <c r="F20" s="96">
        <f>SUMIFS('0529 4度C'!$AC:$AC,'0529 4度C'!$A:$A,"新豐5線",'0529 4度C'!$B:$B,"平均")</f>
        <v>5</v>
      </c>
      <c r="G20" s="96">
        <f>SUMIFS('0529 4度C'!$AC:$AC,'0529 4度C'!$A:$A,"新豐7線",'0529 4度C'!$B:$B,"平均")</f>
        <v>6</v>
      </c>
      <c r="H20" s="96">
        <f>SUMIFS('0529 4度C'!$AC:$AC,'0529 4度C'!$A:$A,"新豐3線",'0529 4度C'!$B:$B,"平均")</f>
        <v>4</v>
      </c>
      <c r="I20" s="96">
        <f>SUMIFS('0529 4度C'!$AC:$AC,'0529 4度C'!$A:$A,"新豐1線",'0529 4度C'!$B:$B,"平均")</f>
        <v>7</v>
      </c>
      <c r="J20" s="97">
        <f>SUMIFS('0529 4度C'!$AC:$AC,'0529 4度C'!$A:$A,"新豐10線",'0529 4度C'!$B:$B,"平均")</f>
        <v>5</v>
      </c>
      <c r="K20" s="98">
        <f>SUMIFS('0529 4度C'!$AC:$AC,'0529 4度C'!$A:$A,"新豐8線",'0529 4度C'!$B:$B,"平均")</f>
        <v>6</v>
      </c>
      <c r="L20" s="96">
        <f>SUMIFS('0529 4度C'!$AC:$AC,'0529 4度C'!$A:$A,"新豐9線",'0529 4度C'!$B:$B,"平均")</f>
        <v>7</v>
      </c>
      <c r="M20" s="97">
        <f>SUMIFS('0529 4度C'!$AC:$AC,'0529 4度C'!$A:$A,"新豐4線",'0529 4度C'!$B:$B,"平均")</f>
        <v>6</v>
      </c>
    </row>
    <row r="21" spans="2:13" ht="17.25" customHeight="1">
      <c r="B21" s="506"/>
      <c r="C21" s="94" t="s">
        <v>2976</v>
      </c>
      <c r="D21" s="95">
        <f>SUMIFS('0529 4度C'!$AD:$AD,'0529 4度C'!$A:$A,"新豐6線",'0529 4度C'!$B:$B,"平均")</f>
        <v>0</v>
      </c>
      <c r="E21" s="96">
        <f>SUMIFS('0529 4度C'!$AD:$AD,'0529 4度C'!$A:$A,"新豐2線",'0529 4度C'!$B:$B,"平均")</f>
        <v>0</v>
      </c>
      <c r="F21" s="96">
        <f>SUMIFS('0529 4度C'!$AD:$AD,'0529 4度C'!$A:$A,"新豐5線",'0529 4度C'!$B:$B,"平均")</f>
        <v>0</v>
      </c>
      <c r="G21" s="96">
        <f>SUMIFS('0529 4度C'!$AD:$AD,'0529 4度C'!$A:$A,"新豐7線",'0529 4度C'!$B:$B,"平均")</f>
        <v>0</v>
      </c>
      <c r="H21" s="96">
        <f>SUMIFS('0529 4度C'!$AD:$AD,'0529 4度C'!$A:$A,"新豐3線",'0529 4度C'!$B:$B,"平均")</f>
        <v>0</v>
      </c>
      <c r="I21" s="96">
        <f>SUMIFS('0529 4度C'!$AD:$AD,'0529 4度C'!$A:$A,"新豐1線",'0529 4度C'!$B:$B,"平均")</f>
        <v>0</v>
      </c>
      <c r="J21" s="97">
        <f>SUMIFS('0529 4度C'!$AD:$AD,'0529 4度C'!$A:$A,"新豐10線",'0529 4度C'!$B:$B,"平均")</f>
        <v>0</v>
      </c>
      <c r="K21" s="98">
        <f>SUMIFS('0529 4度C'!$AD:$AD,'0529 4度C'!$A:$A,"新豐8線",'0529 4度C'!$B:$B,"平均")</f>
        <v>0</v>
      </c>
      <c r="L21" s="96">
        <f>SUMIFS('0529 4度C'!$AD:$AD,'0529 4度C'!$A:$A,"新豐9線",'0529 4度C'!$B:$B,"平均")</f>
        <v>0</v>
      </c>
      <c r="M21" s="97">
        <f>SUMIFS('0529 4度C'!$AD:$AD,'0529 4度C'!$A:$A,"新豐4線",'0529 4度C'!$B:$B,"平均")</f>
        <v>0</v>
      </c>
    </row>
    <row r="22" spans="2:13" ht="17.25" customHeight="1">
      <c r="B22" s="507" t="s">
        <v>2977</v>
      </c>
      <c r="C22" s="508"/>
      <c r="D22" s="99">
        <f>SUMIFS('0529 4度C'!$I:$I,'0529 4度C'!$A:$A,"新豐6線",'0529 4度C'!$B:$B,"平均")</f>
        <v>15.333333333333334</v>
      </c>
      <c r="E22" s="100">
        <f>SUMIFS('0529 4度C'!$I:$I,'0529 4度C'!$A:$A,"新豐2線",'0529 4度C'!$B:$B,"平均")</f>
        <v>17.25</v>
      </c>
      <c r="F22" s="100">
        <f>SUMIFS('0529 4度C'!$I:$I,'0529 4度C'!$A:$A,"新豐5線",'0529 4度C'!$B:$B,"平均")</f>
        <v>17.600000000000001</v>
      </c>
      <c r="G22" s="100">
        <f>SUMIFS('0529 4度C'!$I:$I,'0529 4度C'!$A:$A,"新豐7線",'0529 4度C'!$B:$B,"平均")</f>
        <v>15.333333333333334</v>
      </c>
      <c r="H22" s="100">
        <f>SUMIFS('0529 4度C'!$I:$I,'0529 4度C'!$A:$A,"新豐3線",'0529 4度C'!$B:$B,"平均")</f>
        <v>10.75</v>
      </c>
      <c r="I22" s="100">
        <f>SUMIFS('0529 4度C'!$I:$I,'0529 4度C'!$A:$A,"新豐1線",'0529 4度C'!$B:$B,"平均")</f>
        <v>18.285714285714285</v>
      </c>
      <c r="J22" s="101">
        <f>SUMIFS('0529 4度C'!$I:$I,'0529 4度C'!$A:$A,"新豐10線",'0529 4度C'!$B:$B,"平均")</f>
        <v>9.4</v>
      </c>
      <c r="K22" s="99">
        <f>SUMIFS('0529 4度C'!$I:$I,'0529 4度C'!$A:$A,"新豐8線",'0529 4度C'!$B:$B,"平均")</f>
        <v>17.333333333333332</v>
      </c>
      <c r="L22" s="100">
        <f>SUMIFS('0529 4度C'!$I:$I,'0529 4度C'!$A:$A,"新豐9線",'0529 4度C'!$B:$B,"平均")</f>
        <v>17.857142857142858</v>
      </c>
      <c r="M22" s="101">
        <f>SUMIFS('0529 4度C'!$I:$I,'0529 4度C'!$A:$A,"新豐4線",'0529 4度C'!$B:$B,"平均")</f>
        <v>15.5</v>
      </c>
    </row>
    <row r="23" spans="2:13" ht="17.25" customHeight="1">
      <c r="B23" s="507" t="s">
        <v>1325</v>
      </c>
      <c r="C23" s="508"/>
      <c r="D23" s="102" t="s">
        <v>177</v>
      </c>
      <c r="E23" s="103" t="s">
        <v>178</v>
      </c>
      <c r="F23" s="103" t="s">
        <v>2978</v>
      </c>
      <c r="G23" s="103" t="s">
        <v>2978</v>
      </c>
      <c r="H23" s="103" t="s">
        <v>180</v>
      </c>
      <c r="I23" s="103" t="s">
        <v>177</v>
      </c>
      <c r="J23" s="104" t="s">
        <v>180</v>
      </c>
      <c r="K23" s="102" t="s">
        <v>2979</v>
      </c>
      <c r="L23" s="103" t="s">
        <v>2979</v>
      </c>
      <c r="M23" s="104" t="s">
        <v>2979</v>
      </c>
    </row>
    <row r="24" spans="2:13" ht="17.25" customHeight="1">
      <c r="B24" s="507" t="s">
        <v>2980</v>
      </c>
      <c r="C24" s="508"/>
      <c r="D24" s="102"/>
      <c r="E24" s="103"/>
      <c r="F24" s="103" t="s">
        <v>2981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2982</v>
      </c>
      <c r="C25" s="510"/>
      <c r="D25" s="105"/>
      <c r="E25" s="106" t="s">
        <v>1471</v>
      </c>
      <c r="F25" s="503" t="s">
        <v>2983</v>
      </c>
      <c r="G25" s="504"/>
      <c r="H25" s="106" t="s">
        <v>2984</v>
      </c>
      <c r="I25" s="106" t="s">
        <v>2985</v>
      </c>
      <c r="J25" s="107" t="s">
        <v>2984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68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8"/>
  <sheetViews>
    <sheetView zoomScale="80" zoomScaleNormal="80" workbookViewId="0">
      <pane ySplit="4" topLeftCell="A35" activePane="bottomLeft" state="frozen"/>
      <selection activeCell="AD14" sqref="AD14"/>
      <selection pane="bottomLeft" activeCell="AD14" sqref="AD14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2986</v>
      </c>
      <c r="B1" s="1"/>
      <c r="C1" s="2" t="s">
        <v>2987</v>
      </c>
      <c r="D1" s="3">
        <f>SUM(F5:F67)</f>
        <v>146475</v>
      </c>
      <c r="E1" s="480" t="s">
        <v>2988</v>
      </c>
      <c r="F1" s="1">
        <f>SUM(G5:G67)</f>
        <v>4966653.3</v>
      </c>
      <c r="G1" s="1" t="s">
        <v>2989</v>
      </c>
      <c r="H1" s="5">
        <f>L8+L13+L46+L54+L19+L60+L33+L41+L26+L67</f>
        <v>154.64285714285714</v>
      </c>
      <c r="I1" s="617" t="s">
        <v>2990</v>
      </c>
      <c r="J1" s="617"/>
      <c r="K1" s="617"/>
      <c r="L1" s="617" t="s">
        <v>2991</v>
      </c>
      <c r="M1" s="617"/>
      <c r="N1" s="617"/>
      <c r="O1" s="617" t="s">
        <v>2992</v>
      </c>
      <c r="P1" s="617"/>
      <c r="Q1" s="617"/>
      <c r="R1" s="617"/>
      <c r="S1" s="617" t="s">
        <v>2993</v>
      </c>
      <c r="T1" s="617"/>
      <c r="U1" s="617"/>
      <c r="V1" s="617"/>
      <c r="W1" s="617"/>
      <c r="X1" s="617"/>
      <c r="Y1" s="6" t="s">
        <v>2994</v>
      </c>
      <c r="Z1" s="7" t="s">
        <v>2995</v>
      </c>
      <c r="AA1" s="618" t="s">
        <v>2996</v>
      </c>
      <c r="AB1" s="618"/>
      <c r="AC1" s="8" t="s">
        <v>2994</v>
      </c>
      <c r="AD1" s="7" t="s">
        <v>2997</v>
      </c>
      <c r="AE1" s="617" t="s">
        <v>2998</v>
      </c>
      <c r="AF1" s="619"/>
      <c r="AG1" s="619"/>
    </row>
    <row r="2" spans="1:33" ht="26.25" customHeight="1">
      <c r="A2" s="37">
        <v>46171</v>
      </c>
      <c r="B2" s="38" t="s">
        <v>73</v>
      </c>
      <c r="C2" s="2" t="s">
        <v>2965</v>
      </c>
      <c r="D2" s="10">
        <f>AVERAGE(N8,N13,N46,N54,N19,N60,N26,N33,N41,N67)</f>
        <v>147.42325260993249</v>
      </c>
      <c r="E2" s="11" t="s">
        <v>14</v>
      </c>
      <c r="F2" s="12">
        <f>F1/D1</f>
        <v>33.907856630824369</v>
      </c>
      <c r="G2" s="1" t="s">
        <v>2999</v>
      </c>
      <c r="H2" s="487">
        <f>COUNT(H5:H67)</f>
        <v>6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SUM(Y8+Y13+Y19+Y26+Y33+Y41+Y46+Y54+Y60+Y67)</f>
        <v>0</v>
      </c>
      <c r="Z2" s="14">
        <f>SUM(Z8+Z13+Z19+Z26+Z33+Z41+Z46+Z54+Z60+Z67)</f>
        <v>0</v>
      </c>
      <c r="AA2" s="618"/>
      <c r="AB2" s="618"/>
      <c r="AC2" s="14">
        <v>53</v>
      </c>
      <c r="AD2" s="14">
        <f>SUM(AD8+AD13+AD19+AD26+AD33+AD41+AD46+AD54+AD60+AD67)</f>
        <v>0</v>
      </c>
      <c r="AE2" s="619"/>
      <c r="AF2" s="619"/>
      <c r="AG2" s="619"/>
    </row>
    <row r="3" spans="1:33" ht="40.5" customHeight="1">
      <c r="A3" s="575" t="s">
        <v>3000</v>
      </c>
      <c r="B3" s="575" t="s">
        <v>3001</v>
      </c>
      <c r="C3" s="575" t="s">
        <v>3002</v>
      </c>
      <c r="D3" s="575"/>
      <c r="E3" s="615" t="s">
        <v>3003</v>
      </c>
      <c r="F3" s="575" t="s">
        <v>3004</v>
      </c>
      <c r="G3" s="615" t="s">
        <v>3005</v>
      </c>
      <c r="H3" s="608" t="s">
        <v>3006</v>
      </c>
      <c r="I3" s="606" t="s">
        <v>3007</v>
      </c>
      <c r="J3" s="603" t="s">
        <v>3008</v>
      </c>
      <c r="K3" s="613" t="s">
        <v>2965</v>
      </c>
      <c r="L3" s="606" t="s">
        <v>3007</v>
      </c>
      <c r="M3" s="603" t="s">
        <v>3008</v>
      </c>
      <c r="N3" s="613" t="s">
        <v>2965</v>
      </c>
      <c r="O3" s="606" t="s">
        <v>3007</v>
      </c>
      <c r="P3" s="613" t="s">
        <v>2965</v>
      </c>
      <c r="Q3" s="604" t="s">
        <v>3009</v>
      </c>
      <c r="R3" s="582" t="s">
        <v>3010</v>
      </c>
      <c r="S3" s="575" t="s">
        <v>28</v>
      </c>
      <c r="T3" s="575"/>
      <c r="U3" s="608" t="s">
        <v>29</v>
      </c>
      <c r="V3" s="608" t="s">
        <v>3011</v>
      </c>
      <c r="W3" s="575" t="s">
        <v>3012</v>
      </c>
      <c r="X3" s="575"/>
      <c r="Y3" s="609" t="s">
        <v>3013</v>
      </c>
      <c r="Z3" s="572"/>
      <c r="AA3" s="610" t="s">
        <v>3014</v>
      </c>
      <c r="AB3" s="611"/>
      <c r="AC3" s="609" t="s">
        <v>3015</v>
      </c>
      <c r="AD3" s="572"/>
      <c r="AE3" s="603" t="s">
        <v>3016</v>
      </c>
      <c r="AF3" s="604" t="s">
        <v>3017</v>
      </c>
      <c r="AG3" s="582" t="s">
        <v>3018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480" t="s">
        <v>36</v>
      </c>
      <c r="T4" s="480" t="s">
        <v>37</v>
      </c>
      <c r="U4" s="608"/>
      <c r="V4" s="608"/>
      <c r="W4" s="480" t="s">
        <v>3019</v>
      </c>
      <c r="X4" s="480" t="s">
        <v>3020</v>
      </c>
      <c r="Y4" s="478" t="s">
        <v>3021</v>
      </c>
      <c r="Z4" s="478" t="s">
        <v>3022</v>
      </c>
      <c r="AA4" s="612"/>
      <c r="AB4" s="611"/>
      <c r="AC4" s="478" t="s">
        <v>3023</v>
      </c>
      <c r="AD4" s="478" t="s">
        <v>3024</v>
      </c>
      <c r="AE4" s="603"/>
      <c r="AF4" s="604"/>
      <c r="AG4" s="582"/>
    </row>
    <row r="5" spans="1:33">
      <c r="A5" s="605" t="s">
        <v>3025</v>
      </c>
      <c r="B5" s="39" t="s">
        <v>74</v>
      </c>
      <c r="C5" s="607" t="s">
        <v>77</v>
      </c>
      <c r="D5" s="607"/>
      <c r="E5" s="39">
        <v>50.67</v>
      </c>
      <c r="F5" s="486">
        <v>1295</v>
      </c>
      <c r="G5" s="480">
        <f t="shared" ref="G5:G7" si="0">E5*F5</f>
        <v>65617.650000000009</v>
      </c>
      <c r="H5" s="48" t="s">
        <v>126</v>
      </c>
      <c r="I5" s="484">
        <v>15</v>
      </c>
      <c r="J5" s="43">
        <v>2000</v>
      </c>
      <c r="K5" s="18">
        <f t="shared" ref="K5:K67" si="1">J5/I5</f>
        <v>133.33333333333334</v>
      </c>
      <c r="L5" s="484">
        <v>15</v>
      </c>
      <c r="M5" s="19">
        <f t="shared" ref="M5:M7" si="2">F5/V5*60</f>
        <v>1942.4999999999991</v>
      </c>
      <c r="N5" s="18">
        <f t="shared" ref="N5:N67" si="3">M5/L5</f>
        <v>129.49999999999994</v>
      </c>
      <c r="O5" s="20">
        <f t="shared" ref="O5:O67" si="4">L5-I5</f>
        <v>0</v>
      </c>
      <c r="P5" s="21">
        <f t="shared" ref="P5:P67" si="5">N5-K5</f>
        <v>-3.8333333333333997</v>
      </c>
      <c r="Q5" s="479">
        <f t="shared" ref="Q5:Q67" si="6">N5/K5</f>
        <v>0.9712499999999995</v>
      </c>
      <c r="R5" s="573">
        <f>Q8</f>
        <v>0.95902116402116422</v>
      </c>
      <c r="S5" s="49">
        <v>0.70833333333333337</v>
      </c>
      <c r="T5" s="49">
        <v>0.73611111111111116</v>
      </c>
      <c r="U5" s="480"/>
      <c r="V5" s="485">
        <f t="shared" ref="V5:V7" si="7">(T5-S5)*24*60</f>
        <v>40.000000000000014</v>
      </c>
      <c r="W5" s="25"/>
      <c r="X5" s="26"/>
      <c r="Y5" s="26"/>
      <c r="Z5" s="26"/>
      <c r="AA5" s="575"/>
      <c r="AB5" s="575"/>
      <c r="AC5" s="27">
        <v>3</v>
      </c>
      <c r="AD5" s="27"/>
      <c r="AE5" s="20">
        <f t="shared" ref="AE5:AE53" si="8">M5-J5</f>
        <v>-57.500000000000909</v>
      </c>
      <c r="AF5" s="479">
        <f t="shared" ref="AF5:AF67" si="9">M5/J5</f>
        <v>0.9712499999999995</v>
      </c>
      <c r="AG5" s="573">
        <f>AF8</f>
        <v>0.95902116402116433</v>
      </c>
    </row>
    <row r="6" spans="1:33">
      <c r="A6" s="606" t="s">
        <v>3026</v>
      </c>
      <c r="B6" s="39" t="s">
        <v>74</v>
      </c>
      <c r="C6" s="607" t="s">
        <v>86</v>
      </c>
      <c r="D6" s="607"/>
      <c r="E6" s="39">
        <v>50.92</v>
      </c>
      <c r="F6" s="486">
        <v>1779</v>
      </c>
      <c r="G6" s="480">
        <f t="shared" si="0"/>
        <v>90586.680000000008</v>
      </c>
      <c r="H6" s="48" t="s">
        <v>126</v>
      </c>
      <c r="I6" s="484">
        <v>15</v>
      </c>
      <c r="J6" s="43">
        <v>2000</v>
      </c>
      <c r="K6" s="18">
        <f t="shared" si="1"/>
        <v>133.33333333333334</v>
      </c>
      <c r="L6" s="484">
        <v>15</v>
      </c>
      <c r="M6" s="19">
        <f t="shared" si="2"/>
        <v>1906.07142857143</v>
      </c>
      <c r="N6" s="18">
        <f t="shared" si="3"/>
        <v>127.07142857142867</v>
      </c>
      <c r="O6" s="20">
        <f t="shared" si="4"/>
        <v>0</v>
      </c>
      <c r="P6" s="21">
        <f t="shared" si="5"/>
        <v>-6.2619047619046739</v>
      </c>
      <c r="Q6" s="479">
        <f t="shared" si="6"/>
        <v>0.95303571428571499</v>
      </c>
      <c r="R6" s="573"/>
      <c r="S6" s="49">
        <v>0.7416666666666667</v>
      </c>
      <c r="T6" s="49">
        <v>0.78055555555555556</v>
      </c>
      <c r="U6" s="480">
        <f t="shared" ref="U6:U7" si="10">IF(S6=TIME(17,0,0),"",(S6-T5)*24*60)</f>
        <v>7.9999999999999716</v>
      </c>
      <c r="V6" s="485">
        <f t="shared" si="7"/>
        <v>55.999999999999957</v>
      </c>
      <c r="W6" s="25"/>
      <c r="X6" s="25"/>
      <c r="Y6" s="25"/>
      <c r="Z6" s="25"/>
      <c r="AA6" s="575"/>
      <c r="AB6" s="575"/>
      <c r="AC6" s="27"/>
      <c r="AD6" s="27"/>
      <c r="AE6" s="20">
        <f t="shared" si="8"/>
        <v>-93.928571428569967</v>
      </c>
      <c r="AF6" s="479">
        <f t="shared" si="9"/>
        <v>0.95303571428571499</v>
      </c>
      <c r="AG6" s="573"/>
    </row>
    <row r="7" spans="1:33">
      <c r="A7" s="606" t="s">
        <v>3026</v>
      </c>
      <c r="B7" s="39" t="s">
        <v>74</v>
      </c>
      <c r="C7" s="598" t="s">
        <v>93</v>
      </c>
      <c r="D7" s="599"/>
      <c r="E7" s="39">
        <v>50.98</v>
      </c>
      <c r="F7" s="486">
        <v>1715</v>
      </c>
      <c r="G7" s="480">
        <f t="shared" si="0"/>
        <v>87430.7</v>
      </c>
      <c r="H7" s="48" t="s">
        <v>126</v>
      </c>
      <c r="I7" s="484">
        <v>16</v>
      </c>
      <c r="J7" s="43">
        <v>2000</v>
      </c>
      <c r="K7" s="18">
        <f t="shared" si="1"/>
        <v>125</v>
      </c>
      <c r="L7" s="484">
        <v>16</v>
      </c>
      <c r="M7" s="19">
        <f t="shared" si="2"/>
        <v>1905.5555555555566</v>
      </c>
      <c r="N7" s="18">
        <f t="shared" si="3"/>
        <v>119.09722222222229</v>
      </c>
      <c r="O7" s="20">
        <f t="shared" si="4"/>
        <v>0</v>
      </c>
      <c r="P7" s="21">
        <f t="shared" si="5"/>
        <v>-5.9027777777777146</v>
      </c>
      <c r="Q7" s="479">
        <f t="shared" si="6"/>
        <v>0.95277777777777828</v>
      </c>
      <c r="R7" s="573"/>
      <c r="S7" s="49">
        <v>0.78402777777777777</v>
      </c>
      <c r="T7" s="49">
        <v>0.82152777777777775</v>
      </c>
      <c r="U7" s="480">
        <f t="shared" si="10"/>
        <v>4.9999999999999822</v>
      </c>
      <c r="V7" s="485">
        <f t="shared" si="7"/>
        <v>53.999999999999972</v>
      </c>
      <c r="W7" s="25"/>
      <c r="X7" s="25"/>
      <c r="Y7" s="28"/>
      <c r="Z7" s="28"/>
      <c r="AA7" s="568"/>
      <c r="AB7" s="569"/>
      <c r="AC7" s="29"/>
      <c r="AD7" s="29"/>
      <c r="AE7" s="20">
        <f t="shared" si="8"/>
        <v>-94.444444444443434</v>
      </c>
      <c r="AF7" s="479">
        <f t="shared" si="9"/>
        <v>0.95277777777777828</v>
      </c>
      <c r="AG7" s="573"/>
    </row>
    <row r="8" spans="1:33">
      <c r="A8" s="606" t="s">
        <v>3026</v>
      </c>
      <c r="B8" s="39" t="s">
        <v>3027</v>
      </c>
      <c r="C8" s="576"/>
      <c r="D8" s="576"/>
      <c r="E8" s="481"/>
      <c r="F8" s="42"/>
      <c r="G8" s="18"/>
      <c r="H8" s="486"/>
      <c r="I8" s="32">
        <v>15.333333333333334</v>
      </c>
      <c r="J8" s="43">
        <v>2000</v>
      </c>
      <c r="K8" s="18">
        <f t="shared" si="1"/>
        <v>130.43478260869566</v>
      </c>
      <c r="L8" s="32">
        <v>15.333333333333334</v>
      </c>
      <c r="M8" s="19">
        <f>AVERAGE(M5:M7)</f>
        <v>1918.0423280423286</v>
      </c>
      <c r="N8" s="18">
        <f t="shared" si="3"/>
        <v>125.08971704623882</v>
      </c>
      <c r="O8" s="20">
        <f t="shared" si="4"/>
        <v>0</v>
      </c>
      <c r="P8" s="21">
        <f t="shared" si="5"/>
        <v>-5.3450655624568384</v>
      </c>
      <c r="Q8" s="479">
        <f t="shared" si="6"/>
        <v>0.95902116402116422</v>
      </c>
      <c r="R8" s="573"/>
      <c r="S8" s="49"/>
      <c r="T8" s="49"/>
      <c r="U8" s="480"/>
      <c r="V8" s="485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-81.957671957671437</v>
      </c>
      <c r="AF8" s="479">
        <f t="shared" si="9"/>
        <v>0.95902116402116433</v>
      </c>
      <c r="AG8" s="573"/>
    </row>
    <row r="9" spans="1:33" ht="15.75" customHeight="1">
      <c r="A9" s="602" t="s">
        <v>3028</v>
      </c>
      <c r="B9" s="39" t="s">
        <v>79</v>
      </c>
      <c r="C9" s="598" t="s">
        <v>80</v>
      </c>
      <c r="D9" s="599"/>
      <c r="E9" s="39">
        <v>39.619999999999997</v>
      </c>
      <c r="F9" s="486">
        <v>4634</v>
      </c>
      <c r="G9" s="480">
        <f t="shared" ref="G9:G12" si="11">E9*F9</f>
        <v>183599.08</v>
      </c>
      <c r="H9" s="48" t="s">
        <v>126</v>
      </c>
      <c r="I9" s="484">
        <v>19</v>
      </c>
      <c r="J9" s="43">
        <v>1500</v>
      </c>
      <c r="K9" s="18">
        <f t="shared" si="1"/>
        <v>78.94736842105263</v>
      </c>
      <c r="L9" s="484">
        <v>19</v>
      </c>
      <c r="M9" s="19">
        <f t="shared" ref="M9:M12" si="12">F9/V9*60</f>
        <v>1425.8461538461536</v>
      </c>
      <c r="N9" s="18">
        <f t="shared" si="3"/>
        <v>75.044534412955457</v>
      </c>
      <c r="O9" s="20">
        <f t="shared" si="4"/>
        <v>0</v>
      </c>
      <c r="P9" s="21">
        <f t="shared" si="5"/>
        <v>-3.9028340080971731</v>
      </c>
      <c r="Q9" s="479">
        <f t="shared" si="6"/>
        <v>0.95056410256410251</v>
      </c>
      <c r="R9" s="573">
        <f>Q13</f>
        <v>0.95428775138057209</v>
      </c>
      <c r="S9" s="49">
        <v>8.3333333333333329E-2</v>
      </c>
      <c r="T9" s="49">
        <v>0.21875</v>
      </c>
      <c r="U9" s="480"/>
      <c r="V9" s="485">
        <f t="shared" ref="V9:V12" si="13">(T9-S9)*24*60</f>
        <v>195.00000000000003</v>
      </c>
      <c r="W9" s="25">
        <f>T9</f>
        <v>0.21875</v>
      </c>
      <c r="X9" s="25">
        <f>S10</f>
        <v>0.23819444444444446</v>
      </c>
      <c r="Y9" s="25"/>
      <c r="Z9" s="25"/>
      <c r="AA9" s="575"/>
      <c r="AB9" s="575"/>
      <c r="AC9" s="27">
        <v>4</v>
      </c>
      <c r="AD9" s="27"/>
      <c r="AE9" s="20">
        <f t="shared" si="8"/>
        <v>-74.153846153846416</v>
      </c>
      <c r="AF9" s="479">
        <f t="shared" si="9"/>
        <v>0.9505641025641024</v>
      </c>
      <c r="AG9" s="573">
        <f>AF13</f>
        <v>0.95428775138057209</v>
      </c>
    </row>
    <row r="10" spans="1:33" ht="15.75" customHeight="1">
      <c r="A10" s="602" t="s">
        <v>3028</v>
      </c>
      <c r="B10" s="39" t="s">
        <v>79</v>
      </c>
      <c r="C10" s="598" t="s">
        <v>81</v>
      </c>
      <c r="D10" s="599"/>
      <c r="E10" s="39">
        <v>39.799999999999997</v>
      </c>
      <c r="F10" s="486">
        <v>3600</v>
      </c>
      <c r="G10" s="480">
        <f t="shared" si="11"/>
        <v>143280</v>
      </c>
      <c r="H10" s="48">
        <v>2</v>
      </c>
      <c r="I10" s="484">
        <v>17</v>
      </c>
      <c r="J10" s="43">
        <v>1500</v>
      </c>
      <c r="K10" s="18">
        <f t="shared" si="1"/>
        <v>88.235294117647058</v>
      </c>
      <c r="L10" s="484">
        <v>17</v>
      </c>
      <c r="M10" s="19">
        <f t="shared" si="12"/>
        <v>1430.4635761589404</v>
      </c>
      <c r="N10" s="18">
        <f t="shared" si="3"/>
        <v>84.144916244643554</v>
      </c>
      <c r="O10" s="20">
        <f t="shared" si="4"/>
        <v>0</v>
      </c>
      <c r="P10" s="21">
        <f t="shared" si="5"/>
        <v>-4.0903778730035043</v>
      </c>
      <c r="Q10" s="479">
        <f t="shared" si="6"/>
        <v>0.95364238410596025</v>
      </c>
      <c r="R10" s="573"/>
      <c r="S10" s="49">
        <v>0.23819444444444446</v>
      </c>
      <c r="T10" s="49">
        <v>0.34305555555555556</v>
      </c>
      <c r="U10" s="480">
        <f t="shared" ref="U10:U12" si="14">IF(S10=TIME(17,0,0),"",(S10-T9)*24*60)</f>
        <v>28.000000000000021</v>
      </c>
      <c r="V10" s="485">
        <f t="shared" si="13"/>
        <v>151</v>
      </c>
      <c r="W10" s="25"/>
      <c r="X10" s="25"/>
      <c r="Y10" s="25"/>
      <c r="Z10" s="25"/>
      <c r="AA10" s="575"/>
      <c r="AB10" s="575"/>
      <c r="AC10" s="27"/>
      <c r="AD10" s="27"/>
      <c r="AE10" s="20">
        <f t="shared" si="8"/>
        <v>-69.536423841059559</v>
      </c>
      <c r="AF10" s="479">
        <f t="shared" si="9"/>
        <v>0.95364238410596025</v>
      </c>
      <c r="AG10" s="573"/>
    </row>
    <row r="11" spans="1:33" ht="15.75" customHeight="1">
      <c r="A11" s="602" t="s">
        <v>3028</v>
      </c>
      <c r="B11" s="39" t="s">
        <v>79</v>
      </c>
      <c r="C11" s="598" t="s">
        <v>1953</v>
      </c>
      <c r="D11" s="599"/>
      <c r="E11" s="39">
        <v>39.46</v>
      </c>
      <c r="F11" s="486">
        <v>4574</v>
      </c>
      <c r="G11" s="480">
        <f t="shared" si="11"/>
        <v>180490.04</v>
      </c>
      <c r="H11" s="48" t="s">
        <v>126</v>
      </c>
      <c r="I11" s="484">
        <v>16</v>
      </c>
      <c r="J11" s="43">
        <v>1500</v>
      </c>
      <c r="K11" s="18">
        <f t="shared" si="1"/>
        <v>93.75</v>
      </c>
      <c r="L11" s="484">
        <v>16</v>
      </c>
      <c r="M11" s="19">
        <f t="shared" si="12"/>
        <v>1436.8586387434557</v>
      </c>
      <c r="N11" s="18">
        <f t="shared" si="3"/>
        <v>89.80366492146598</v>
      </c>
      <c r="O11" s="20">
        <f t="shared" si="4"/>
        <v>0</v>
      </c>
      <c r="P11" s="21">
        <f t="shared" si="5"/>
        <v>-3.9463350785340197</v>
      </c>
      <c r="Q11" s="479">
        <f t="shared" si="6"/>
        <v>0.9579057591623038</v>
      </c>
      <c r="R11" s="573"/>
      <c r="S11" s="49">
        <v>0.34652777777777777</v>
      </c>
      <c r="T11" s="49">
        <v>0.47916666666666663</v>
      </c>
      <c r="U11" s="480">
        <f t="shared" si="14"/>
        <v>4.9999999999999822</v>
      </c>
      <c r="V11" s="485">
        <f t="shared" si="13"/>
        <v>190.99999999999997</v>
      </c>
      <c r="W11" s="25">
        <f>T11</f>
        <v>0.47916666666666663</v>
      </c>
      <c r="X11" s="25">
        <f>S12</f>
        <v>0.52013888888888882</v>
      </c>
      <c r="Y11" s="25"/>
      <c r="Z11" s="25"/>
      <c r="AA11" s="575"/>
      <c r="AB11" s="575"/>
      <c r="AC11" s="27"/>
      <c r="AD11" s="27"/>
      <c r="AE11" s="20">
        <f t="shared" si="8"/>
        <v>-63.141361256544315</v>
      </c>
      <c r="AF11" s="479">
        <f t="shared" si="9"/>
        <v>0.9579057591623038</v>
      </c>
      <c r="AG11" s="573"/>
    </row>
    <row r="12" spans="1:33" ht="15.75" customHeight="1">
      <c r="A12" s="602" t="s">
        <v>3028</v>
      </c>
      <c r="B12" s="39" t="s">
        <v>79</v>
      </c>
      <c r="C12" s="598" t="s">
        <v>81</v>
      </c>
      <c r="D12" s="599"/>
      <c r="E12" s="39">
        <v>39.799999999999997</v>
      </c>
      <c r="F12" s="486">
        <v>3080</v>
      </c>
      <c r="G12" s="480">
        <f t="shared" si="11"/>
        <v>122583.99999999999</v>
      </c>
      <c r="H12" s="48" t="s">
        <v>126</v>
      </c>
      <c r="I12" s="484">
        <v>17</v>
      </c>
      <c r="J12" s="43">
        <v>1500</v>
      </c>
      <c r="K12" s="18">
        <f t="shared" si="1"/>
        <v>88.235294117647058</v>
      </c>
      <c r="L12" s="484">
        <v>17</v>
      </c>
      <c r="M12" s="19">
        <f t="shared" si="12"/>
        <v>1432.5581395348836</v>
      </c>
      <c r="N12" s="18">
        <f t="shared" si="3"/>
        <v>84.268125854993158</v>
      </c>
      <c r="O12" s="20">
        <f t="shared" si="4"/>
        <v>0</v>
      </c>
      <c r="P12" s="21">
        <f t="shared" si="5"/>
        <v>-3.9671682626538995</v>
      </c>
      <c r="Q12" s="479">
        <f t="shared" si="6"/>
        <v>0.95503875968992247</v>
      </c>
      <c r="R12" s="573"/>
      <c r="S12" s="49">
        <v>0.52013888888888882</v>
      </c>
      <c r="T12" s="49">
        <v>0.60972222222222217</v>
      </c>
      <c r="U12" s="480">
        <f t="shared" si="14"/>
        <v>58.99999999999995</v>
      </c>
      <c r="V12" s="485">
        <f t="shared" si="13"/>
        <v>129.00000000000003</v>
      </c>
      <c r="W12" s="25"/>
      <c r="X12" s="25"/>
      <c r="Y12" s="25"/>
      <c r="Z12" s="25"/>
      <c r="AA12" s="568"/>
      <c r="AB12" s="569"/>
      <c r="AC12" s="27"/>
      <c r="AD12" s="27"/>
      <c r="AE12" s="20">
        <f t="shared" si="8"/>
        <v>-67.441860465116406</v>
      </c>
      <c r="AF12" s="479">
        <f t="shared" si="9"/>
        <v>0.95503875968992236</v>
      </c>
      <c r="AG12" s="573"/>
    </row>
    <row r="13" spans="1:33" ht="16.5" customHeight="1">
      <c r="A13" s="602" t="s">
        <v>3028</v>
      </c>
      <c r="B13" s="39" t="s">
        <v>3027</v>
      </c>
      <c r="C13" s="576"/>
      <c r="D13" s="576"/>
      <c r="E13" s="481"/>
      <c r="F13" s="43"/>
      <c r="G13" s="19"/>
      <c r="H13" s="486"/>
      <c r="I13" s="32">
        <v>17.25</v>
      </c>
      <c r="J13" s="43">
        <v>1500</v>
      </c>
      <c r="K13" s="18">
        <f t="shared" si="1"/>
        <v>86.956521739130437</v>
      </c>
      <c r="L13" s="32">
        <v>17.25</v>
      </c>
      <c r="M13" s="19">
        <f>AVERAGE(M9:M12)</f>
        <v>1431.4316270708582</v>
      </c>
      <c r="N13" s="18">
        <f t="shared" si="3"/>
        <v>82.981543598310623</v>
      </c>
      <c r="O13" s="20">
        <f t="shared" si="4"/>
        <v>0</v>
      </c>
      <c r="P13" s="21">
        <f t="shared" si="5"/>
        <v>-3.9749781408198146</v>
      </c>
      <c r="Q13" s="479">
        <f t="shared" si="6"/>
        <v>0.95428775138057209</v>
      </c>
      <c r="R13" s="573"/>
      <c r="S13" s="49"/>
      <c r="T13" s="49"/>
      <c r="U13" s="18"/>
      <c r="V13" s="485"/>
      <c r="W13" s="18"/>
      <c r="X13" s="18"/>
      <c r="Y13" s="33">
        <f>SUM(Y9:Y12)</f>
        <v>0</v>
      </c>
      <c r="Z13" s="33">
        <f>SUM(Z9:Z12)</f>
        <v>0</v>
      </c>
      <c r="AA13" s="572"/>
      <c r="AB13" s="572"/>
      <c r="AC13" s="33">
        <v>4</v>
      </c>
      <c r="AD13" s="33">
        <f>SUM(AD9:AD12)</f>
        <v>0</v>
      </c>
      <c r="AE13" s="20">
        <f t="shared" si="8"/>
        <v>-68.568372929141788</v>
      </c>
      <c r="AF13" s="479">
        <f t="shared" si="9"/>
        <v>0.95428775138057209</v>
      </c>
      <c r="AG13" s="573"/>
    </row>
    <row r="14" spans="1:33" ht="16.5" customHeight="1">
      <c r="A14" s="600" t="s">
        <v>3029</v>
      </c>
      <c r="B14" s="486" t="s">
        <v>82</v>
      </c>
      <c r="C14" s="594" t="s">
        <v>83</v>
      </c>
      <c r="D14" s="594"/>
      <c r="E14" s="39">
        <v>41</v>
      </c>
      <c r="F14" s="486">
        <v>1289</v>
      </c>
      <c r="G14" s="480">
        <f t="shared" ref="G14:G18" si="15">E14*F14</f>
        <v>52849</v>
      </c>
      <c r="H14" s="48" t="s">
        <v>126</v>
      </c>
      <c r="I14" s="484">
        <v>26</v>
      </c>
      <c r="J14" s="43">
        <v>1500</v>
      </c>
      <c r="K14" s="18">
        <f t="shared" si="1"/>
        <v>57.692307692307693</v>
      </c>
      <c r="L14" s="484">
        <v>26</v>
      </c>
      <c r="M14" s="19">
        <f t="shared" ref="M14:M18" si="16">F14/V14*60</f>
        <v>1432.2222222222219</v>
      </c>
      <c r="N14" s="18">
        <f t="shared" si="3"/>
        <v>55.085470085470078</v>
      </c>
      <c r="O14" s="20">
        <f t="shared" si="4"/>
        <v>0</v>
      </c>
      <c r="P14" s="21">
        <f t="shared" si="5"/>
        <v>-2.6068376068376153</v>
      </c>
      <c r="Q14" s="479">
        <f t="shared" si="6"/>
        <v>0.95481481481481467</v>
      </c>
      <c r="R14" s="573">
        <f>Q19</f>
        <v>0.9562524191980375</v>
      </c>
      <c r="S14" s="49">
        <v>0.20833333333333334</v>
      </c>
      <c r="T14" s="49">
        <v>0.24583333333333335</v>
      </c>
      <c r="U14" s="480"/>
      <c r="V14" s="485">
        <f t="shared" ref="V14:V18" si="17">(T14-S14)*24*60</f>
        <v>54.000000000000007</v>
      </c>
      <c r="W14" s="30"/>
      <c r="X14" s="30"/>
      <c r="Y14" s="30"/>
      <c r="Z14" s="30"/>
      <c r="AA14" s="575"/>
      <c r="AB14" s="575"/>
      <c r="AC14" s="27">
        <v>5</v>
      </c>
      <c r="AD14" s="27"/>
      <c r="AE14" s="20">
        <f t="shared" si="8"/>
        <v>-67.777777777778056</v>
      </c>
      <c r="AF14" s="479">
        <f t="shared" si="9"/>
        <v>0.95481481481481467</v>
      </c>
      <c r="AG14" s="573">
        <f>AF19</f>
        <v>0.9562524191980375</v>
      </c>
    </row>
    <row r="15" spans="1:33" ht="16.5" customHeight="1">
      <c r="A15" s="601" t="s">
        <v>3029</v>
      </c>
      <c r="B15" s="486" t="s">
        <v>74</v>
      </c>
      <c r="C15" s="594" t="s">
        <v>2623</v>
      </c>
      <c r="D15" s="594"/>
      <c r="E15" s="39">
        <v>37.03</v>
      </c>
      <c r="F15" s="486">
        <v>1658</v>
      </c>
      <c r="G15" s="480">
        <f t="shared" si="15"/>
        <v>61395.740000000005</v>
      </c>
      <c r="H15" s="48" t="s">
        <v>126</v>
      </c>
      <c r="I15" s="484">
        <v>13</v>
      </c>
      <c r="J15" s="43">
        <v>1500</v>
      </c>
      <c r="K15" s="18">
        <f t="shared" si="1"/>
        <v>115.38461538461539</v>
      </c>
      <c r="L15" s="484">
        <v>13</v>
      </c>
      <c r="M15" s="19">
        <f t="shared" si="16"/>
        <v>1441.7391304347825</v>
      </c>
      <c r="N15" s="18">
        <f t="shared" si="3"/>
        <v>110.90301003344482</v>
      </c>
      <c r="O15" s="20">
        <f t="shared" si="4"/>
        <v>0</v>
      </c>
      <c r="P15" s="21">
        <f t="shared" si="5"/>
        <v>-4.4816053511705718</v>
      </c>
      <c r="Q15" s="479">
        <f t="shared" si="6"/>
        <v>0.96115942028985502</v>
      </c>
      <c r="R15" s="573"/>
      <c r="S15" s="49">
        <v>0.24930555555555556</v>
      </c>
      <c r="T15" s="49">
        <v>0.29722222222222222</v>
      </c>
      <c r="U15" s="480">
        <f t="shared" ref="U15:U18" si="18">IF(S15=TIME(17,0,0),"",(S15-T14)*24*60)</f>
        <v>4.9999999999999822</v>
      </c>
      <c r="V15" s="485">
        <f t="shared" si="17"/>
        <v>69</v>
      </c>
      <c r="W15" s="25"/>
      <c r="X15" s="25"/>
      <c r="Y15" s="25"/>
      <c r="Z15" s="25"/>
      <c r="AA15" s="575"/>
      <c r="AB15" s="575"/>
      <c r="AC15" s="27"/>
      <c r="AD15" s="27"/>
      <c r="AE15" s="20">
        <f t="shared" si="8"/>
        <v>-58.26086956521749</v>
      </c>
      <c r="AF15" s="479">
        <f t="shared" si="9"/>
        <v>0.96115942028985502</v>
      </c>
      <c r="AG15" s="573"/>
    </row>
    <row r="16" spans="1:33" ht="16.5" customHeight="1">
      <c r="A16" s="601" t="s">
        <v>3029</v>
      </c>
      <c r="B16" s="486" t="s">
        <v>74</v>
      </c>
      <c r="C16" s="594" t="s">
        <v>85</v>
      </c>
      <c r="D16" s="594"/>
      <c r="E16" s="39">
        <v>53.68</v>
      </c>
      <c r="F16" s="486">
        <v>956</v>
      </c>
      <c r="G16" s="480">
        <f t="shared" si="15"/>
        <v>51318.080000000002</v>
      </c>
      <c r="H16" s="48" t="s">
        <v>126</v>
      </c>
      <c r="I16" s="484">
        <v>16</v>
      </c>
      <c r="J16" s="43">
        <v>1500</v>
      </c>
      <c r="K16" s="18">
        <f t="shared" si="1"/>
        <v>93.75</v>
      </c>
      <c r="L16" s="484">
        <v>16</v>
      </c>
      <c r="M16" s="19">
        <f t="shared" si="16"/>
        <v>1433.9999999999995</v>
      </c>
      <c r="N16" s="18">
        <f t="shared" si="3"/>
        <v>89.624999999999972</v>
      </c>
      <c r="O16" s="20">
        <f t="shared" si="4"/>
        <v>0</v>
      </c>
      <c r="P16" s="21">
        <f t="shared" si="5"/>
        <v>-4.1250000000000284</v>
      </c>
      <c r="Q16" s="479">
        <f t="shared" si="6"/>
        <v>0.95599999999999974</v>
      </c>
      <c r="R16" s="573"/>
      <c r="S16" s="49">
        <v>0.70833333333333337</v>
      </c>
      <c r="T16" s="49">
        <v>0.73611111111111116</v>
      </c>
      <c r="U16" s="480" t="str">
        <f t="shared" si="18"/>
        <v/>
      </c>
      <c r="V16" s="485">
        <f t="shared" si="17"/>
        <v>40.000000000000014</v>
      </c>
      <c r="W16" s="25"/>
      <c r="X16" s="25"/>
      <c r="Y16" s="25"/>
      <c r="Z16" s="25"/>
      <c r="AA16" s="575"/>
      <c r="AB16" s="575"/>
      <c r="AC16" s="27"/>
      <c r="AD16" s="27"/>
      <c r="AE16" s="20">
        <f t="shared" si="8"/>
        <v>-66.000000000000455</v>
      </c>
      <c r="AF16" s="479">
        <f t="shared" si="9"/>
        <v>0.95599999999999974</v>
      </c>
      <c r="AG16" s="573"/>
    </row>
    <row r="17" spans="1:33" ht="16.5" customHeight="1">
      <c r="A17" s="601" t="s">
        <v>3029</v>
      </c>
      <c r="B17" s="486" t="s">
        <v>74</v>
      </c>
      <c r="C17" s="594" t="s">
        <v>78</v>
      </c>
      <c r="D17" s="594"/>
      <c r="E17" s="39">
        <v>52.86</v>
      </c>
      <c r="F17" s="486">
        <v>1271</v>
      </c>
      <c r="G17" s="480">
        <f t="shared" si="15"/>
        <v>67185.06</v>
      </c>
      <c r="H17" s="48" t="s">
        <v>126</v>
      </c>
      <c r="I17" s="484">
        <v>16</v>
      </c>
      <c r="J17" s="43">
        <v>2000</v>
      </c>
      <c r="K17" s="18">
        <f t="shared" si="1"/>
        <v>125</v>
      </c>
      <c r="L17" s="484">
        <v>16</v>
      </c>
      <c r="M17" s="19">
        <f t="shared" si="16"/>
        <v>1906.4999999999993</v>
      </c>
      <c r="N17" s="18">
        <f t="shared" si="3"/>
        <v>119.15624999999996</v>
      </c>
      <c r="O17" s="20">
        <f t="shared" si="4"/>
        <v>0</v>
      </c>
      <c r="P17" s="21">
        <f t="shared" si="5"/>
        <v>-5.8437500000000426</v>
      </c>
      <c r="Q17" s="479">
        <f t="shared" si="6"/>
        <v>0.95324999999999971</v>
      </c>
      <c r="R17" s="573"/>
      <c r="S17" s="49">
        <v>0.7416666666666667</v>
      </c>
      <c r="T17" s="49">
        <v>0.76944444444444449</v>
      </c>
      <c r="U17" s="480">
        <f t="shared" si="18"/>
        <v>7.9999999999999716</v>
      </c>
      <c r="V17" s="485">
        <f t="shared" si="17"/>
        <v>40.000000000000014</v>
      </c>
      <c r="W17" s="25"/>
      <c r="X17" s="25"/>
      <c r="Y17" s="25"/>
      <c r="Z17" s="25"/>
      <c r="AA17" s="575"/>
      <c r="AB17" s="575"/>
      <c r="AC17" s="27"/>
      <c r="AD17" s="27"/>
      <c r="AE17" s="20">
        <f t="shared" si="8"/>
        <v>-93.500000000000682</v>
      </c>
      <c r="AF17" s="479">
        <f t="shared" si="9"/>
        <v>0.95324999999999971</v>
      </c>
      <c r="AG17" s="573"/>
    </row>
    <row r="18" spans="1:33" ht="16.5" customHeight="1">
      <c r="A18" s="601" t="s">
        <v>3029</v>
      </c>
      <c r="B18" s="486" t="s">
        <v>74</v>
      </c>
      <c r="C18" s="594" t="s">
        <v>75</v>
      </c>
      <c r="D18" s="594"/>
      <c r="E18" s="39">
        <v>50.67</v>
      </c>
      <c r="F18" s="486">
        <v>1212</v>
      </c>
      <c r="G18" s="480">
        <f t="shared" si="15"/>
        <v>61412.04</v>
      </c>
      <c r="H18" s="48" t="s">
        <v>126</v>
      </c>
      <c r="I18" s="484">
        <v>17</v>
      </c>
      <c r="J18" s="43">
        <v>2000</v>
      </c>
      <c r="K18" s="18">
        <f t="shared" si="1"/>
        <v>117.64705882352941</v>
      </c>
      <c r="L18" s="484">
        <v>17</v>
      </c>
      <c r="M18" s="19">
        <f t="shared" si="16"/>
        <v>1913.6842105263142</v>
      </c>
      <c r="N18" s="18">
        <f t="shared" si="3"/>
        <v>112.56965944272437</v>
      </c>
      <c r="O18" s="20">
        <f t="shared" si="4"/>
        <v>0</v>
      </c>
      <c r="P18" s="21">
        <f t="shared" si="5"/>
        <v>-5.0773993808050335</v>
      </c>
      <c r="Q18" s="479">
        <f t="shared" si="6"/>
        <v>0.95684210526315716</v>
      </c>
      <c r="R18" s="573"/>
      <c r="S18" s="49">
        <v>0.77430555555555558</v>
      </c>
      <c r="T18" s="49">
        <v>0.80069444444444449</v>
      </c>
      <c r="U18" s="480">
        <f t="shared" si="18"/>
        <v>6.9999999999999751</v>
      </c>
      <c r="V18" s="485">
        <f t="shared" si="17"/>
        <v>38.000000000000028</v>
      </c>
      <c r="W18" s="25"/>
      <c r="X18" s="25"/>
      <c r="Y18" s="25"/>
      <c r="Z18" s="25"/>
      <c r="AA18" s="575"/>
      <c r="AB18" s="575"/>
      <c r="AC18" s="27"/>
      <c r="AD18" s="27"/>
      <c r="AE18" s="20">
        <f t="shared" si="8"/>
        <v>-86.315789473685754</v>
      </c>
      <c r="AF18" s="479">
        <f t="shared" si="9"/>
        <v>0.95684210526315716</v>
      </c>
      <c r="AG18" s="573"/>
    </row>
    <row r="19" spans="1:33" ht="16.5" customHeight="1">
      <c r="A19" s="601" t="s">
        <v>3029</v>
      </c>
      <c r="B19" s="39" t="s">
        <v>3027</v>
      </c>
      <c r="C19" s="576"/>
      <c r="D19" s="576"/>
      <c r="E19" s="481"/>
      <c r="F19" s="42"/>
      <c r="G19" s="18"/>
      <c r="H19" s="486"/>
      <c r="I19" s="32">
        <v>17.600000000000001</v>
      </c>
      <c r="J19" s="43">
        <v>1700</v>
      </c>
      <c r="K19" s="18">
        <f t="shared" si="1"/>
        <v>96.590909090909079</v>
      </c>
      <c r="L19" s="32">
        <v>17.600000000000001</v>
      </c>
      <c r="M19" s="19">
        <f>AVERAGE(M14:M18)</f>
        <v>1625.6291126366636</v>
      </c>
      <c r="N19" s="18">
        <f t="shared" si="3"/>
        <v>92.365290490719516</v>
      </c>
      <c r="O19" s="20">
        <f t="shared" si="4"/>
        <v>0</v>
      </c>
      <c r="P19" s="21">
        <f t="shared" si="5"/>
        <v>-4.2256186001895628</v>
      </c>
      <c r="Q19" s="479">
        <f t="shared" si="6"/>
        <v>0.9562524191980375</v>
      </c>
      <c r="R19" s="573"/>
      <c r="S19" s="49"/>
      <c r="T19" s="49"/>
      <c r="U19" s="480"/>
      <c r="V19" s="485"/>
      <c r="W19" s="18"/>
      <c r="X19" s="18"/>
      <c r="Y19" s="33">
        <f>SUM(Y14:Y18)</f>
        <v>0</v>
      </c>
      <c r="Z19" s="33">
        <f>SUM(Z14:Z18)</f>
        <v>0</v>
      </c>
      <c r="AA19" s="572"/>
      <c r="AB19" s="572"/>
      <c r="AC19" s="33">
        <v>5</v>
      </c>
      <c r="AD19" s="33">
        <f>SUM(AD14:AD18)</f>
        <v>0</v>
      </c>
      <c r="AE19" s="20">
        <f t="shared" si="8"/>
        <v>-74.370887363336351</v>
      </c>
      <c r="AF19" s="479">
        <f t="shared" si="9"/>
        <v>0.9562524191980375</v>
      </c>
      <c r="AG19" s="573"/>
    </row>
    <row r="20" spans="1:33" ht="15.75" customHeight="1">
      <c r="A20" s="596" t="s">
        <v>3030</v>
      </c>
      <c r="B20" s="39" t="s">
        <v>74</v>
      </c>
      <c r="C20" s="594" t="s">
        <v>84</v>
      </c>
      <c r="D20" s="594"/>
      <c r="E20" s="39">
        <v>54.09</v>
      </c>
      <c r="F20" s="486">
        <v>1333</v>
      </c>
      <c r="G20" s="480">
        <f t="shared" ref="G20:G25" si="19">E20*F20</f>
        <v>72101.97</v>
      </c>
      <c r="H20" s="48" t="s">
        <v>126</v>
      </c>
      <c r="I20" s="484">
        <v>17</v>
      </c>
      <c r="J20" s="43">
        <v>1500</v>
      </c>
      <c r="K20" s="18">
        <f t="shared" si="1"/>
        <v>88.235294117647058</v>
      </c>
      <c r="L20" s="484">
        <v>17</v>
      </c>
      <c r="M20" s="19">
        <f t="shared" ref="M20:M25" si="20">F20/V20*60</f>
        <v>1428.2142857142856</v>
      </c>
      <c r="N20" s="18">
        <f t="shared" si="3"/>
        <v>84.012605042016801</v>
      </c>
      <c r="O20" s="20">
        <f t="shared" si="4"/>
        <v>0</v>
      </c>
      <c r="P20" s="21">
        <f t="shared" si="5"/>
        <v>-4.2226890756302566</v>
      </c>
      <c r="Q20" s="479">
        <f t="shared" si="6"/>
        <v>0.95214285714285707</v>
      </c>
      <c r="R20" s="573">
        <f>Q26</f>
        <v>0.96072476299444276</v>
      </c>
      <c r="S20" s="49">
        <v>0.20833333333333334</v>
      </c>
      <c r="T20" s="49">
        <v>0.24722222222222223</v>
      </c>
      <c r="U20" s="480"/>
      <c r="V20" s="485">
        <f t="shared" ref="V20:V25" si="21">(T20-S20)*24*60</f>
        <v>56</v>
      </c>
      <c r="W20" s="30"/>
      <c r="X20" s="30"/>
      <c r="Y20" s="30"/>
      <c r="Z20" s="30"/>
      <c r="AA20" s="575"/>
      <c r="AB20" s="575"/>
      <c r="AC20" s="27">
        <v>6</v>
      </c>
      <c r="AD20" s="27"/>
      <c r="AE20" s="20">
        <f t="shared" si="8"/>
        <v>-71.785714285714448</v>
      </c>
      <c r="AF20" s="479">
        <f t="shared" si="9"/>
        <v>0.95214285714285707</v>
      </c>
      <c r="AG20" s="573">
        <f>AF26</f>
        <v>0.96072476299444287</v>
      </c>
    </row>
    <row r="21" spans="1:33" ht="15.75" customHeight="1">
      <c r="A21" s="597" t="s">
        <v>3030</v>
      </c>
      <c r="B21" s="39" t="s">
        <v>74</v>
      </c>
      <c r="C21" s="594" t="s">
        <v>89</v>
      </c>
      <c r="D21" s="594"/>
      <c r="E21" s="39">
        <v>50.67</v>
      </c>
      <c r="F21" s="486">
        <v>1534</v>
      </c>
      <c r="G21" s="480">
        <f t="shared" si="19"/>
        <v>77727.78</v>
      </c>
      <c r="H21" s="48" t="s">
        <v>126</v>
      </c>
      <c r="I21" s="484">
        <v>17</v>
      </c>
      <c r="J21" s="43">
        <v>2000</v>
      </c>
      <c r="K21" s="18">
        <f t="shared" si="1"/>
        <v>117.64705882352941</v>
      </c>
      <c r="L21" s="484">
        <v>17</v>
      </c>
      <c r="M21" s="19">
        <f t="shared" si="20"/>
        <v>1917.5000000000005</v>
      </c>
      <c r="N21" s="18">
        <f t="shared" si="3"/>
        <v>112.79411764705885</v>
      </c>
      <c r="O21" s="20">
        <f t="shared" si="4"/>
        <v>0</v>
      </c>
      <c r="P21" s="21">
        <f t="shared" si="5"/>
        <v>-4.8529411764705515</v>
      </c>
      <c r="Q21" s="479">
        <f t="shared" si="6"/>
        <v>0.95875000000000032</v>
      </c>
      <c r="R21" s="573"/>
      <c r="S21" s="49">
        <v>0.25208333333333333</v>
      </c>
      <c r="T21" s="49">
        <v>0.28541666666666665</v>
      </c>
      <c r="U21" s="480">
        <f t="shared" ref="U21:U25" si="22">IF(S21=TIME(17,0,0),"",(S21-T20)*24*60)</f>
        <v>6.9999999999999751</v>
      </c>
      <c r="V21" s="485">
        <f t="shared" si="21"/>
        <v>47.999999999999986</v>
      </c>
      <c r="W21" s="25"/>
      <c r="X21" s="480"/>
      <c r="Y21" s="480"/>
      <c r="Z21" s="480"/>
      <c r="AA21" s="575"/>
      <c r="AB21" s="575"/>
      <c r="AC21" s="27"/>
      <c r="AD21" s="27"/>
      <c r="AE21" s="20">
        <f t="shared" si="8"/>
        <v>-82.499999999999545</v>
      </c>
      <c r="AF21" s="479">
        <f t="shared" si="9"/>
        <v>0.95875000000000021</v>
      </c>
      <c r="AG21" s="573"/>
    </row>
    <row r="22" spans="1:33" ht="15.75" customHeight="1">
      <c r="A22" s="597" t="s">
        <v>3030</v>
      </c>
      <c r="B22" s="39" t="s">
        <v>74</v>
      </c>
      <c r="C22" s="594" t="s">
        <v>90</v>
      </c>
      <c r="D22" s="594"/>
      <c r="E22" s="39">
        <v>57.73</v>
      </c>
      <c r="F22" s="486">
        <v>1825</v>
      </c>
      <c r="G22" s="480">
        <f t="shared" si="19"/>
        <v>105357.25</v>
      </c>
      <c r="H22" s="48" t="s">
        <v>126</v>
      </c>
      <c r="I22" s="484">
        <v>14</v>
      </c>
      <c r="J22" s="43">
        <v>2000</v>
      </c>
      <c r="K22" s="18">
        <f t="shared" si="1"/>
        <v>142.85714285714286</v>
      </c>
      <c r="L22" s="484">
        <v>14</v>
      </c>
      <c r="M22" s="19">
        <f t="shared" si="20"/>
        <v>1921.0526315789486</v>
      </c>
      <c r="N22" s="18">
        <f t="shared" si="3"/>
        <v>137.21804511278205</v>
      </c>
      <c r="O22" s="20">
        <f t="shared" si="4"/>
        <v>0</v>
      </c>
      <c r="P22" s="21">
        <f t="shared" si="5"/>
        <v>-5.6390977443608108</v>
      </c>
      <c r="Q22" s="479">
        <f t="shared" si="6"/>
        <v>0.96052631578947434</v>
      </c>
      <c r="R22" s="573"/>
      <c r="S22" s="49">
        <v>0.29097222222222219</v>
      </c>
      <c r="T22" s="49">
        <v>0.33055555555555549</v>
      </c>
      <c r="U22" s="480">
        <f t="shared" si="22"/>
        <v>7.9999999999999716</v>
      </c>
      <c r="V22" s="485">
        <f t="shared" si="21"/>
        <v>56.999999999999957</v>
      </c>
      <c r="W22" s="25"/>
      <c r="X22" s="480"/>
      <c r="Y22" s="480"/>
      <c r="Z22" s="480"/>
      <c r="AA22" s="575"/>
      <c r="AB22" s="575"/>
      <c r="AC22" s="27"/>
      <c r="AD22" s="27"/>
      <c r="AE22" s="20">
        <f t="shared" si="8"/>
        <v>-78.947368421051351</v>
      </c>
      <c r="AF22" s="479">
        <f t="shared" si="9"/>
        <v>0.96052631578947434</v>
      </c>
      <c r="AG22" s="573"/>
    </row>
    <row r="23" spans="1:33" ht="15.75" customHeight="1">
      <c r="A23" s="597" t="s">
        <v>3030</v>
      </c>
      <c r="B23" s="39" t="s">
        <v>74</v>
      </c>
      <c r="C23" s="594" t="s">
        <v>1232</v>
      </c>
      <c r="D23" s="594"/>
      <c r="E23" s="39">
        <v>53.27</v>
      </c>
      <c r="F23" s="486">
        <v>1780</v>
      </c>
      <c r="G23" s="480">
        <f t="shared" si="19"/>
        <v>94820.6</v>
      </c>
      <c r="H23" s="48" t="s">
        <v>126</v>
      </c>
      <c r="I23" s="484">
        <v>16</v>
      </c>
      <c r="J23" s="43">
        <v>2000</v>
      </c>
      <c r="K23" s="18">
        <f t="shared" si="1"/>
        <v>125</v>
      </c>
      <c r="L23" s="484">
        <v>16</v>
      </c>
      <c r="M23" s="19">
        <f t="shared" si="20"/>
        <v>1907.1428571428585</v>
      </c>
      <c r="N23" s="18">
        <f t="shared" si="3"/>
        <v>119.19642857142865</v>
      </c>
      <c r="O23" s="20">
        <f t="shared" si="4"/>
        <v>0</v>
      </c>
      <c r="P23" s="21">
        <f t="shared" si="5"/>
        <v>-5.8035714285713453</v>
      </c>
      <c r="Q23" s="479">
        <f t="shared" si="6"/>
        <v>0.95357142857142929</v>
      </c>
      <c r="R23" s="573"/>
      <c r="S23" s="49">
        <v>0.33472222222222214</v>
      </c>
      <c r="T23" s="49">
        <v>0.37361111111111101</v>
      </c>
      <c r="U23" s="480">
        <f t="shared" si="22"/>
        <v>5.9999999999999787</v>
      </c>
      <c r="V23" s="485">
        <f t="shared" si="21"/>
        <v>55.999999999999957</v>
      </c>
      <c r="W23" s="25"/>
      <c r="X23" s="480"/>
      <c r="Y23" s="480"/>
      <c r="Z23" s="480"/>
      <c r="AA23" s="575"/>
      <c r="AB23" s="575"/>
      <c r="AC23" s="27"/>
      <c r="AD23" s="27"/>
      <c r="AE23" s="20">
        <f t="shared" si="8"/>
        <v>-92.857142857141525</v>
      </c>
      <c r="AF23" s="479">
        <f t="shared" si="9"/>
        <v>0.95357142857142929</v>
      </c>
      <c r="AG23" s="573"/>
    </row>
    <row r="24" spans="1:33" ht="15.75" customHeight="1">
      <c r="A24" s="597" t="s">
        <v>3030</v>
      </c>
      <c r="B24" s="39" t="s">
        <v>74</v>
      </c>
      <c r="C24" s="594" t="s">
        <v>92</v>
      </c>
      <c r="D24" s="594"/>
      <c r="E24" s="39">
        <v>50.49</v>
      </c>
      <c r="F24" s="486">
        <v>1599</v>
      </c>
      <c r="G24" s="480">
        <f t="shared" si="19"/>
        <v>80733.510000000009</v>
      </c>
      <c r="H24" s="48" t="s">
        <v>126</v>
      </c>
      <c r="I24" s="484">
        <v>15</v>
      </c>
      <c r="J24" s="43">
        <v>2000</v>
      </c>
      <c r="K24" s="18">
        <f t="shared" si="1"/>
        <v>133.33333333333334</v>
      </c>
      <c r="L24" s="484">
        <v>15</v>
      </c>
      <c r="M24" s="19">
        <f t="shared" si="20"/>
        <v>1918.8000000000004</v>
      </c>
      <c r="N24" s="18">
        <f t="shared" si="3"/>
        <v>127.92000000000003</v>
      </c>
      <c r="O24" s="20">
        <f t="shared" si="4"/>
        <v>0</v>
      </c>
      <c r="P24" s="21">
        <f t="shared" si="5"/>
        <v>-5.4133333333333127</v>
      </c>
      <c r="Q24" s="479">
        <f t="shared" si="6"/>
        <v>0.95940000000000014</v>
      </c>
      <c r="R24" s="573"/>
      <c r="S24" s="49">
        <v>0.70833333333333337</v>
      </c>
      <c r="T24" s="49">
        <v>0.74305555555555558</v>
      </c>
      <c r="U24" s="480" t="str">
        <f t="shared" si="22"/>
        <v/>
      </c>
      <c r="V24" s="485">
        <f t="shared" si="21"/>
        <v>49.999999999999986</v>
      </c>
      <c r="W24" s="25"/>
      <c r="X24" s="25"/>
      <c r="Y24" s="480"/>
      <c r="Z24" s="480"/>
      <c r="AA24" s="575"/>
      <c r="AB24" s="575"/>
      <c r="AC24" s="27"/>
      <c r="AD24" s="27"/>
      <c r="AE24" s="20">
        <f t="shared" si="8"/>
        <v>-81.199999999999591</v>
      </c>
      <c r="AF24" s="479">
        <f t="shared" si="9"/>
        <v>0.95940000000000025</v>
      </c>
      <c r="AG24" s="573"/>
    </row>
    <row r="25" spans="1:33" ht="15.75" customHeight="1">
      <c r="A25" s="597" t="s">
        <v>3030</v>
      </c>
      <c r="B25" s="39" t="s">
        <v>74</v>
      </c>
      <c r="C25" s="594" t="s">
        <v>2524</v>
      </c>
      <c r="D25" s="594"/>
      <c r="E25" s="39">
        <v>56.43</v>
      </c>
      <c r="F25" s="486">
        <v>1043</v>
      </c>
      <c r="G25" s="480">
        <f t="shared" si="19"/>
        <v>58856.49</v>
      </c>
      <c r="H25" s="48" t="s">
        <v>126</v>
      </c>
      <c r="I25" s="484">
        <v>13</v>
      </c>
      <c r="J25" s="43">
        <v>2000</v>
      </c>
      <c r="K25" s="18">
        <f t="shared" si="1"/>
        <v>153.84615384615384</v>
      </c>
      <c r="L25" s="484">
        <v>13</v>
      </c>
      <c r="M25" s="19">
        <f t="shared" si="20"/>
        <v>1955.6249999999975</v>
      </c>
      <c r="N25" s="18">
        <f t="shared" si="3"/>
        <v>150.43269230769212</v>
      </c>
      <c r="O25" s="20">
        <f t="shared" si="4"/>
        <v>0</v>
      </c>
      <c r="P25" s="21">
        <f t="shared" si="5"/>
        <v>-3.4134615384617177</v>
      </c>
      <c r="Q25" s="479">
        <f t="shared" si="6"/>
        <v>0.97781249999999886</v>
      </c>
      <c r="R25" s="573"/>
      <c r="S25" s="49">
        <v>0.74861111111111112</v>
      </c>
      <c r="T25" s="49">
        <v>0.77083333333333337</v>
      </c>
      <c r="U25" s="480">
        <f t="shared" si="22"/>
        <v>7.9999999999999716</v>
      </c>
      <c r="V25" s="485">
        <f t="shared" si="21"/>
        <v>32.000000000000043</v>
      </c>
      <c r="W25" s="25"/>
      <c r="X25" s="30"/>
      <c r="Y25" s="30"/>
      <c r="Z25" s="30"/>
      <c r="AA25" s="575"/>
      <c r="AB25" s="575"/>
      <c r="AC25" s="27"/>
      <c r="AD25" s="27"/>
      <c r="AE25" s="20">
        <f t="shared" si="8"/>
        <v>-44.375000000002501</v>
      </c>
      <c r="AF25" s="479">
        <f t="shared" si="9"/>
        <v>0.97781249999999875</v>
      </c>
      <c r="AG25" s="573"/>
    </row>
    <row r="26" spans="1:33" ht="15.75" customHeight="1">
      <c r="A26" s="597" t="s">
        <v>3030</v>
      </c>
      <c r="B26" s="39" t="s">
        <v>3027</v>
      </c>
      <c r="C26" s="576"/>
      <c r="D26" s="576"/>
      <c r="E26" s="481"/>
      <c r="F26" s="486"/>
      <c r="G26" s="480"/>
      <c r="H26" s="486"/>
      <c r="I26" s="32">
        <v>15.333333333333334</v>
      </c>
      <c r="J26" s="43">
        <v>1916.6666666666667</v>
      </c>
      <c r="K26" s="18">
        <f t="shared" si="1"/>
        <v>125</v>
      </c>
      <c r="L26" s="32">
        <v>15.333333333333334</v>
      </c>
      <c r="M26" s="19">
        <f>AVERAGE(M20:M25)</f>
        <v>1841.3891290726822</v>
      </c>
      <c r="N26" s="18">
        <f t="shared" si="3"/>
        <v>120.09059537430535</v>
      </c>
      <c r="O26" s="20">
        <f t="shared" si="4"/>
        <v>0</v>
      </c>
      <c r="P26" s="21">
        <f t="shared" si="5"/>
        <v>-4.9094046256946484</v>
      </c>
      <c r="Q26" s="479">
        <f t="shared" si="6"/>
        <v>0.96072476299444276</v>
      </c>
      <c r="R26" s="573"/>
      <c r="S26" s="49"/>
      <c r="T26" s="49"/>
      <c r="U26" s="18"/>
      <c r="V26" s="485"/>
      <c r="W26" s="18"/>
      <c r="X26" s="18"/>
      <c r="Y26" s="33">
        <f>SUM(Y20:Y25)</f>
        <v>0</v>
      </c>
      <c r="Z26" s="33">
        <f>SUM(Z20:Z25)</f>
        <v>0</v>
      </c>
      <c r="AA26" s="572"/>
      <c r="AB26" s="572"/>
      <c r="AC26" s="33">
        <v>6</v>
      </c>
      <c r="AD26" s="33">
        <f>SUM(AD20:AD25)</f>
        <v>0</v>
      </c>
      <c r="AE26" s="20">
        <f t="shared" si="8"/>
        <v>-75.277537593984562</v>
      </c>
      <c r="AF26" s="479">
        <f t="shared" si="9"/>
        <v>0.96072476299444287</v>
      </c>
      <c r="AG26" s="573"/>
    </row>
    <row r="27" spans="1:33" ht="15.75" customHeight="1">
      <c r="A27" s="595" t="s">
        <v>3031</v>
      </c>
      <c r="B27" s="39" t="s">
        <v>94</v>
      </c>
      <c r="C27" s="594" t="s">
        <v>95</v>
      </c>
      <c r="D27" s="594"/>
      <c r="E27" s="39">
        <v>31.29</v>
      </c>
      <c r="F27" s="486">
        <v>6000</v>
      </c>
      <c r="G27" s="480">
        <f t="shared" ref="G27:G32" si="23">E27*F27</f>
        <v>187740</v>
      </c>
      <c r="H27" s="48">
        <v>2</v>
      </c>
      <c r="I27" s="484">
        <v>18</v>
      </c>
      <c r="J27" s="43">
        <v>2400</v>
      </c>
      <c r="K27" s="18">
        <f t="shared" si="1"/>
        <v>133.33333333333334</v>
      </c>
      <c r="L27" s="484">
        <v>18</v>
      </c>
      <c r="M27" s="19">
        <f t="shared" ref="M27:M32" si="24">F27/V27*60</f>
        <v>2292.993630573249</v>
      </c>
      <c r="N27" s="18">
        <f t="shared" si="3"/>
        <v>127.38853503184717</v>
      </c>
      <c r="O27" s="20">
        <f t="shared" si="4"/>
        <v>0</v>
      </c>
      <c r="P27" s="21">
        <f t="shared" si="5"/>
        <v>-5.9447983014861734</v>
      </c>
      <c r="Q27" s="479">
        <f t="shared" si="6"/>
        <v>0.95541401273885374</v>
      </c>
      <c r="R27" s="573">
        <f>Q33</f>
        <v>0.95648449943859426</v>
      </c>
      <c r="S27" s="49">
        <v>8.3333333333333329E-2</v>
      </c>
      <c r="T27" s="49">
        <v>0.19236111111111109</v>
      </c>
      <c r="U27" s="480"/>
      <c r="V27" s="485">
        <f t="shared" ref="V27:V32" si="25">(T27-S27)*24*60</f>
        <v>156.99999999999997</v>
      </c>
      <c r="W27" s="25">
        <f>T27</f>
        <v>0.19236111111111109</v>
      </c>
      <c r="X27" s="25">
        <f>S28</f>
        <v>0.21249999999999999</v>
      </c>
      <c r="Y27" s="25"/>
      <c r="Z27" s="25"/>
      <c r="AA27" s="575"/>
      <c r="AB27" s="575"/>
      <c r="AC27" s="27">
        <v>6</v>
      </c>
      <c r="AD27" s="27"/>
      <c r="AE27" s="20">
        <f t="shared" si="8"/>
        <v>-107.00636942675101</v>
      </c>
      <c r="AF27" s="479">
        <f t="shared" si="9"/>
        <v>0.95541401273885374</v>
      </c>
      <c r="AG27" s="573">
        <f>AF33</f>
        <v>0.95648449943859437</v>
      </c>
    </row>
    <row r="28" spans="1:33" ht="15.75" customHeight="1">
      <c r="A28" s="595" t="s">
        <v>3031</v>
      </c>
      <c r="B28" s="39" t="s">
        <v>94</v>
      </c>
      <c r="C28" s="594" t="s">
        <v>97</v>
      </c>
      <c r="D28" s="594"/>
      <c r="E28" s="39">
        <v>26.37</v>
      </c>
      <c r="F28" s="486">
        <v>5775</v>
      </c>
      <c r="G28" s="480">
        <f t="shared" si="23"/>
        <v>152286.75</v>
      </c>
      <c r="H28" s="48" t="s">
        <v>126</v>
      </c>
      <c r="I28" s="484">
        <v>18</v>
      </c>
      <c r="J28" s="43">
        <v>2400</v>
      </c>
      <c r="K28" s="18">
        <f t="shared" si="1"/>
        <v>133.33333333333334</v>
      </c>
      <c r="L28" s="484">
        <v>18</v>
      </c>
      <c r="M28" s="19">
        <f t="shared" si="24"/>
        <v>2294.701986754967</v>
      </c>
      <c r="N28" s="18">
        <f t="shared" si="3"/>
        <v>127.48344370860929</v>
      </c>
      <c r="O28" s="20">
        <f t="shared" si="4"/>
        <v>0</v>
      </c>
      <c r="P28" s="21">
        <f t="shared" si="5"/>
        <v>-5.8498896247240566</v>
      </c>
      <c r="Q28" s="479">
        <f t="shared" si="6"/>
        <v>0.95612582781456956</v>
      </c>
      <c r="R28" s="573"/>
      <c r="S28" s="49">
        <v>0.21249999999999999</v>
      </c>
      <c r="T28" s="49">
        <v>0.31736111111111109</v>
      </c>
      <c r="U28" s="480">
        <f t="shared" ref="U28:U32" si="26">(S28-T27)*24*60</f>
        <v>29.000000000000018</v>
      </c>
      <c r="V28" s="485">
        <f t="shared" si="25"/>
        <v>151</v>
      </c>
      <c r="W28" s="25"/>
      <c r="X28" s="25"/>
      <c r="Y28" s="25"/>
      <c r="Z28" s="25"/>
      <c r="AA28" s="575"/>
      <c r="AB28" s="575"/>
      <c r="AC28" s="27"/>
      <c r="AD28" s="27"/>
      <c r="AE28" s="20">
        <f t="shared" si="8"/>
        <v>-105.29801324503296</v>
      </c>
      <c r="AF28" s="479">
        <f t="shared" si="9"/>
        <v>0.95612582781456956</v>
      </c>
      <c r="AG28" s="573"/>
    </row>
    <row r="29" spans="1:33" ht="15.75" customHeight="1">
      <c r="A29" s="595" t="s">
        <v>3031</v>
      </c>
      <c r="B29" s="39" t="s">
        <v>94</v>
      </c>
      <c r="C29" s="594" t="s">
        <v>529</v>
      </c>
      <c r="D29" s="594"/>
      <c r="E29" s="39">
        <v>26.18</v>
      </c>
      <c r="F29" s="486">
        <v>5000</v>
      </c>
      <c r="G29" s="480">
        <f t="shared" si="23"/>
        <v>130900</v>
      </c>
      <c r="H29" s="48">
        <v>2</v>
      </c>
      <c r="I29" s="484">
        <v>18</v>
      </c>
      <c r="J29" s="43">
        <v>2400</v>
      </c>
      <c r="K29" s="18">
        <f t="shared" si="1"/>
        <v>133.33333333333334</v>
      </c>
      <c r="L29" s="484">
        <v>18</v>
      </c>
      <c r="M29" s="19">
        <f t="shared" si="24"/>
        <v>2290.0763358778627</v>
      </c>
      <c r="N29" s="18">
        <f t="shared" si="3"/>
        <v>127.2264631043257</v>
      </c>
      <c r="O29" s="20">
        <f t="shared" si="4"/>
        <v>0</v>
      </c>
      <c r="P29" s="21">
        <f t="shared" si="5"/>
        <v>-6.1068702290076402</v>
      </c>
      <c r="Q29" s="479">
        <f t="shared" si="6"/>
        <v>0.95419847328244267</v>
      </c>
      <c r="R29" s="573"/>
      <c r="S29" s="49">
        <v>0.3208333333333333</v>
      </c>
      <c r="T29" s="49">
        <v>0.41180555555555554</v>
      </c>
      <c r="U29" s="480">
        <f t="shared" si="26"/>
        <v>4.9999999999999822</v>
      </c>
      <c r="V29" s="485">
        <f t="shared" si="25"/>
        <v>131</v>
      </c>
      <c r="W29" s="25"/>
      <c r="X29" s="25"/>
      <c r="Y29" s="25"/>
      <c r="Z29" s="25"/>
      <c r="AA29" s="575"/>
      <c r="AB29" s="575"/>
      <c r="AC29" s="27"/>
      <c r="AD29" s="27"/>
      <c r="AE29" s="20">
        <f t="shared" si="8"/>
        <v>-109.92366412213732</v>
      </c>
      <c r="AF29" s="479">
        <f t="shared" si="9"/>
        <v>0.95419847328244278</v>
      </c>
      <c r="AG29" s="573"/>
    </row>
    <row r="30" spans="1:33" ht="15.75" customHeight="1">
      <c r="A30" s="595" t="s">
        <v>3031</v>
      </c>
      <c r="B30" s="39" t="s">
        <v>94</v>
      </c>
      <c r="C30" s="594" t="s">
        <v>98</v>
      </c>
      <c r="D30" s="594"/>
      <c r="E30" s="39">
        <v>25.99</v>
      </c>
      <c r="F30" s="486">
        <v>3564</v>
      </c>
      <c r="G30" s="480">
        <f t="shared" si="23"/>
        <v>92628.36</v>
      </c>
      <c r="H30" s="48" t="s">
        <v>126</v>
      </c>
      <c r="I30" s="484">
        <v>14</v>
      </c>
      <c r="J30" s="43">
        <v>2400</v>
      </c>
      <c r="K30" s="18">
        <f t="shared" si="1"/>
        <v>171.42857142857142</v>
      </c>
      <c r="L30" s="484">
        <v>14</v>
      </c>
      <c r="M30" s="19">
        <f t="shared" si="24"/>
        <v>2299.3548387096776</v>
      </c>
      <c r="N30" s="18">
        <f t="shared" si="3"/>
        <v>164.23963133640555</v>
      </c>
      <c r="O30" s="20">
        <f t="shared" si="4"/>
        <v>0</v>
      </c>
      <c r="P30" s="21">
        <f t="shared" si="5"/>
        <v>-7.1889400921658648</v>
      </c>
      <c r="Q30" s="479">
        <f t="shared" si="6"/>
        <v>0.95806451612903243</v>
      </c>
      <c r="R30" s="573"/>
      <c r="S30" s="49">
        <v>0.41527777777777775</v>
      </c>
      <c r="T30" s="49">
        <v>0.47986111111111107</v>
      </c>
      <c r="U30" s="480">
        <f t="shared" si="26"/>
        <v>4.9999999999999822</v>
      </c>
      <c r="V30" s="485">
        <f t="shared" si="25"/>
        <v>92.999999999999986</v>
      </c>
      <c r="W30" s="25">
        <f>T30</f>
        <v>0.47986111111111107</v>
      </c>
      <c r="X30" s="25">
        <f>S31</f>
        <v>0.52013888888888882</v>
      </c>
      <c r="Y30" s="25"/>
      <c r="Z30" s="25"/>
      <c r="AA30" s="575"/>
      <c r="AB30" s="575"/>
      <c r="AC30" s="27"/>
      <c r="AD30" s="27"/>
      <c r="AE30" s="20">
        <f t="shared" si="8"/>
        <v>-100.64516129032245</v>
      </c>
      <c r="AF30" s="479">
        <f t="shared" si="9"/>
        <v>0.95806451612903232</v>
      </c>
      <c r="AG30" s="573"/>
    </row>
    <row r="31" spans="1:33" ht="15.75" customHeight="1">
      <c r="A31" s="595" t="s">
        <v>3031</v>
      </c>
      <c r="B31" s="39" t="s">
        <v>94</v>
      </c>
      <c r="C31" s="594" t="s">
        <v>95</v>
      </c>
      <c r="D31" s="594"/>
      <c r="E31" s="39">
        <v>31.29</v>
      </c>
      <c r="F31" s="486">
        <v>1853</v>
      </c>
      <c r="G31" s="480">
        <f t="shared" si="23"/>
        <v>57980.369999999995</v>
      </c>
      <c r="H31" s="48" t="s">
        <v>126</v>
      </c>
      <c r="I31" s="484">
        <v>18</v>
      </c>
      <c r="J31" s="43">
        <v>2400</v>
      </c>
      <c r="K31" s="18">
        <f t="shared" si="1"/>
        <v>133.33333333333334</v>
      </c>
      <c r="L31" s="484">
        <v>18</v>
      </c>
      <c r="M31" s="19">
        <f t="shared" si="24"/>
        <v>2316.2500000000009</v>
      </c>
      <c r="N31" s="18">
        <f t="shared" si="3"/>
        <v>128.6805555555556</v>
      </c>
      <c r="O31" s="20">
        <f t="shared" si="4"/>
        <v>0</v>
      </c>
      <c r="P31" s="21">
        <f t="shared" si="5"/>
        <v>-4.652777777777743</v>
      </c>
      <c r="Q31" s="479">
        <f t="shared" si="6"/>
        <v>0.96510416666666698</v>
      </c>
      <c r="R31" s="573"/>
      <c r="S31" s="49">
        <v>0.52013888888888882</v>
      </c>
      <c r="T31" s="49">
        <v>0.55347222222222214</v>
      </c>
      <c r="U31" s="480">
        <f t="shared" si="26"/>
        <v>57.999999999999957</v>
      </c>
      <c r="V31" s="485">
        <f t="shared" si="25"/>
        <v>47.999999999999986</v>
      </c>
      <c r="W31" s="25"/>
      <c r="X31" s="25"/>
      <c r="Y31" s="25"/>
      <c r="Z31" s="25"/>
      <c r="AA31" s="575"/>
      <c r="AB31" s="575"/>
      <c r="AC31" s="27"/>
      <c r="AD31" s="27"/>
      <c r="AE31" s="20">
        <f t="shared" si="8"/>
        <v>-83.749999999999091</v>
      </c>
      <c r="AF31" s="479">
        <f t="shared" si="9"/>
        <v>0.9651041666666671</v>
      </c>
      <c r="AG31" s="573"/>
    </row>
    <row r="32" spans="1:33" ht="15.75" customHeight="1">
      <c r="A32" s="595" t="s">
        <v>3031</v>
      </c>
      <c r="B32" s="39" t="s">
        <v>94</v>
      </c>
      <c r="C32" s="594" t="s">
        <v>529</v>
      </c>
      <c r="D32" s="594"/>
      <c r="E32" s="39">
        <v>26.18</v>
      </c>
      <c r="F32" s="486">
        <v>1824</v>
      </c>
      <c r="G32" s="480">
        <f t="shared" si="23"/>
        <v>47752.32</v>
      </c>
      <c r="H32" s="48" t="s">
        <v>126</v>
      </c>
      <c r="I32" s="484">
        <v>18</v>
      </c>
      <c r="J32" s="43">
        <v>2400</v>
      </c>
      <c r="K32" s="18">
        <f t="shared" si="1"/>
        <v>133.33333333333334</v>
      </c>
      <c r="L32" s="484">
        <v>18</v>
      </c>
      <c r="M32" s="19">
        <f t="shared" si="24"/>
        <v>2280.0000000000009</v>
      </c>
      <c r="N32" s="18">
        <f t="shared" si="3"/>
        <v>126.66666666666671</v>
      </c>
      <c r="O32" s="20">
        <f t="shared" si="4"/>
        <v>0</v>
      </c>
      <c r="P32" s="21">
        <f t="shared" si="5"/>
        <v>-6.6666666666666288</v>
      </c>
      <c r="Q32" s="479">
        <f t="shared" si="6"/>
        <v>0.95000000000000029</v>
      </c>
      <c r="R32" s="573"/>
      <c r="S32" s="49">
        <v>0.55694444444444435</v>
      </c>
      <c r="T32" s="49">
        <v>0.59027777777777768</v>
      </c>
      <c r="U32" s="480">
        <f t="shared" si="26"/>
        <v>4.9999999999999822</v>
      </c>
      <c r="V32" s="485">
        <f t="shared" si="25"/>
        <v>47.999999999999986</v>
      </c>
      <c r="W32" s="25"/>
      <c r="X32" s="25"/>
      <c r="Y32" s="25"/>
      <c r="Z32" s="25"/>
      <c r="AA32" s="575"/>
      <c r="AB32" s="575"/>
      <c r="AC32" s="27"/>
      <c r="AD32" s="27"/>
      <c r="AE32" s="20">
        <f t="shared" si="8"/>
        <v>-119.99999999999909</v>
      </c>
      <c r="AF32" s="479">
        <f t="shared" si="9"/>
        <v>0.9500000000000004</v>
      </c>
      <c r="AG32" s="573"/>
    </row>
    <row r="33" spans="1:33" ht="15.75" customHeight="1">
      <c r="A33" s="595" t="s">
        <v>3031</v>
      </c>
      <c r="B33" s="39" t="s">
        <v>3027</v>
      </c>
      <c r="C33" s="576"/>
      <c r="D33" s="576"/>
      <c r="E33" s="481"/>
      <c r="F33" s="486"/>
      <c r="G33" s="480"/>
      <c r="H33" s="486"/>
      <c r="I33" s="32">
        <v>17.333333333333332</v>
      </c>
      <c r="J33" s="43">
        <v>2400</v>
      </c>
      <c r="K33" s="18">
        <f t="shared" si="1"/>
        <v>138.46153846153848</v>
      </c>
      <c r="L33" s="32">
        <v>17.333333333333332</v>
      </c>
      <c r="M33" s="19">
        <f>AVERAGE(M27:M32)</f>
        <v>2295.5627986526265</v>
      </c>
      <c r="N33" s="18">
        <f t="shared" si="3"/>
        <v>132.43631530688231</v>
      </c>
      <c r="O33" s="20">
        <f t="shared" si="4"/>
        <v>0</v>
      </c>
      <c r="P33" s="21">
        <f t="shared" si="5"/>
        <v>-6.0252231546561745</v>
      </c>
      <c r="Q33" s="479">
        <f t="shared" si="6"/>
        <v>0.95648449943859426</v>
      </c>
      <c r="R33" s="573"/>
      <c r="S33" s="49"/>
      <c r="T33" s="49"/>
      <c r="U33" s="480"/>
      <c r="V33" s="485"/>
      <c r="W33" s="480"/>
      <c r="X33" s="480"/>
      <c r="Y33" s="33">
        <f>SUM(Y27:Y32)</f>
        <v>0</v>
      </c>
      <c r="Z33" s="33">
        <f>SUM(Z27:Z32)</f>
        <v>0</v>
      </c>
      <c r="AA33" s="572"/>
      <c r="AB33" s="572"/>
      <c r="AC33" s="33">
        <v>6</v>
      </c>
      <c r="AD33" s="33">
        <f>SUM(AD27:AD32)</f>
        <v>0</v>
      </c>
      <c r="AE33" s="20">
        <f t="shared" si="8"/>
        <v>-104.4372013473735</v>
      </c>
      <c r="AF33" s="479">
        <f t="shared" si="9"/>
        <v>0.95648449943859437</v>
      </c>
      <c r="AG33" s="573"/>
    </row>
    <row r="34" spans="1:33" ht="15.75" customHeight="1">
      <c r="A34" s="592" t="s">
        <v>3032</v>
      </c>
      <c r="B34" s="39" t="s">
        <v>94</v>
      </c>
      <c r="C34" s="574" t="s">
        <v>530</v>
      </c>
      <c r="D34" s="574"/>
      <c r="E34" s="39">
        <v>26.18</v>
      </c>
      <c r="F34" s="486">
        <v>3500</v>
      </c>
      <c r="G34" s="480">
        <f t="shared" ref="G34:G40" si="27">E34*F34</f>
        <v>91630</v>
      </c>
      <c r="H34" s="48">
        <v>2</v>
      </c>
      <c r="I34" s="484">
        <v>20</v>
      </c>
      <c r="J34" s="43">
        <v>2400</v>
      </c>
      <c r="K34" s="18">
        <f t="shared" si="1"/>
        <v>120</v>
      </c>
      <c r="L34" s="484">
        <v>20</v>
      </c>
      <c r="M34" s="19">
        <f t="shared" ref="M34:M40" si="28">F34/V34*60</f>
        <v>2307.6923076923085</v>
      </c>
      <c r="N34" s="18">
        <f t="shared" si="3"/>
        <v>115.38461538461543</v>
      </c>
      <c r="O34" s="20">
        <f t="shared" si="4"/>
        <v>0</v>
      </c>
      <c r="P34" s="21">
        <f t="shared" si="5"/>
        <v>-4.6153846153845706</v>
      </c>
      <c r="Q34" s="479">
        <f t="shared" si="6"/>
        <v>0.9615384615384619</v>
      </c>
      <c r="R34" s="573">
        <f>Q41</f>
        <v>0.96023263926984093</v>
      </c>
      <c r="S34" s="49">
        <v>8.3333333333333329E-2</v>
      </c>
      <c r="T34" s="49">
        <v>0.14652777777777776</v>
      </c>
      <c r="U34" s="480"/>
      <c r="V34" s="485">
        <f t="shared" ref="V34:V40" si="29">(T34-S34)*24*60</f>
        <v>90.999999999999972</v>
      </c>
      <c r="W34" s="30">
        <f>T34</f>
        <v>0.14652777777777776</v>
      </c>
      <c r="X34" s="30">
        <f>S35</f>
        <v>0.16527777777777775</v>
      </c>
      <c r="Y34" s="30"/>
      <c r="Z34" s="30"/>
      <c r="AA34" s="575"/>
      <c r="AB34" s="575"/>
      <c r="AC34" s="27">
        <v>7</v>
      </c>
      <c r="AD34" s="27"/>
      <c r="AE34" s="20">
        <f t="shared" si="8"/>
        <v>-92.307692307691468</v>
      </c>
      <c r="AF34" s="479">
        <f t="shared" si="9"/>
        <v>0.9615384615384619</v>
      </c>
      <c r="AG34" s="573">
        <f>AF41</f>
        <v>0.96023263926984093</v>
      </c>
    </row>
    <row r="35" spans="1:33" ht="15.75" customHeight="1">
      <c r="A35" s="592" t="s">
        <v>3032</v>
      </c>
      <c r="B35" s="39" t="s">
        <v>94</v>
      </c>
      <c r="C35" s="574" t="s">
        <v>100</v>
      </c>
      <c r="D35" s="574"/>
      <c r="E35" s="39">
        <v>24.43</v>
      </c>
      <c r="F35" s="486">
        <v>5744</v>
      </c>
      <c r="G35" s="480">
        <f t="shared" si="27"/>
        <v>140325.92000000001</v>
      </c>
      <c r="H35" s="48" t="s">
        <v>126</v>
      </c>
      <c r="I35" s="484">
        <v>14</v>
      </c>
      <c r="J35" s="43">
        <v>2400</v>
      </c>
      <c r="K35" s="18">
        <f t="shared" si="1"/>
        <v>171.42857142857142</v>
      </c>
      <c r="L35" s="484">
        <v>14</v>
      </c>
      <c r="M35" s="19">
        <f t="shared" si="28"/>
        <v>2297.6</v>
      </c>
      <c r="N35" s="18">
        <f t="shared" si="3"/>
        <v>164.1142857142857</v>
      </c>
      <c r="O35" s="20">
        <f t="shared" si="4"/>
        <v>0</v>
      </c>
      <c r="P35" s="21">
        <f t="shared" si="5"/>
        <v>-7.3142857142857167</v>
      </c>
      <c r="Q35" s="479">
        <f t="shared" si="6"/>
        <v>0.95733333333333337</v>
      </c>
      <c r="R35" s="573"/>
      <c r="S35" s="49">
        <v>0.16527777777777775</v>
      </c>
      <c r="T35" s="49">
        <v>0.26944444444444443</v>
      </c>
      <c r="U35" s="480">
        <f t="shared" ref="U35:U40" si="30">(S35-T34)*24*60</f>
        <v>26.999999999999986</v>
      </c>
      <c r="V35" s="485">
        <f t="shared" si="29"/>
        <v>150.00000000000003</v>
      </c>
      <c r="W35" s="480"/>
      <c r="X35" s="480"/>
      <c r="Y35" s="480"/>
      <c r="Z35" s="480"/>
      <c r="AA35" s="575"/>
      <c r="AB35" s="575"/>
      <c r="AC35" s="27"/>
      <c r="AD35" s="27"/>
      <c r="AE35" s="20">
        <f t="shared" si="8"/>
        <v>-102.40000000000009</v>
      </c>
      <c r="AF35" s="479">
        <f t="shared" si="9"/>
        <v>0.95733333333333326</v>
      </c>
      <c r="AG35" s="573"/>
    </row>
    <row r="36" spans="1:33">
      <c r="A36" s="593" t="s">
        <v>3032</v>
      </c>
      <c r="B36" s="39" t="s">
        <v>94</v>
      </c>
      <c r="C36" s="574" t="s">
        <v>102</v>
      </c>
      <c r="D36" s="574"/>
      <c r="E36" s="39">
        <v>34.1</v>
      </c>
      <c r="F36" s="486">
        <v>4000</v>
      </c>
      <c r="G36" s="480">
        <f t="shared" si="27"/>
        <v>136400</v>
      </c>
      <c r="H36" s="48">
        <v>2</v>
      </c>
      <c r="I36" s="484">
        <v>17</v>
      </c>
      <c r="J36" s="43">
        <v>1600</v>
      </c>
      <c r="K36" s="18">
        <f t="shared" si="1"/>
        <v>94.117647058823536</v>
      </c>
      <c r="L36" s="484">
        <v>17</v>
      </c>
      <c r="M36" s="19">
        <f t="shared" si="28"/>
        <v>1528.6624203821657</v>
      </c>
      <c r="N36" s="18">
        <f t="shared" si="3"/>
        <v>89.92131884600974</v>
      </c>
      <c r="O36" s="20">
        <f t="shared" si="4"/>
        <v>0</v>
      </c>
      <c r="P36" s="21">
        <f t="shared" si="5"/>
        <v>-4.1963282128137962</v>
      </c>
      <c r="Q36" s="479">
        <f t="shared" si="6"/>
        <v>0.9554140127388534</v>
      </c>
      <c r="R36" s="573"/>
      <c r="S36" s="49">
        <v>0.27291666666666664</v>
      </c>
      <c r="T36" s="49">
        <v>0.38194444444444442</v>
      </c>
      <c r="U36" s="480">
        <f t="shared" si="30"/>
        <v>4.9999999999999822</v>
      </c>
      <c r="V36" s="485">
        <f t="shared" si="29"/>
        <v>157</v>
      </c>
      <c r="W36" s="480"/>
      <c r="X36" s="480"/>
      <c r="Y36" s="480"/>
      <c r="Z36" s="480"/>
      <c r="AA36" s="575"/>
      <c r="AB36" s="575"/>
      <c r="AC36" s="27"/>
      <c r="AD36" s="27"/>
      <c r="AE36" s="20">
        <f t="shared" si="8"/>
        <v>-71.337579617834308</v>
      </c>
      <c r="AF36" s="479">
        <f t="shared" si="9"/>
        <v>0.95541401273885351</v>
      </c>
      <c r="AG36" s="573"/>
    </row>
    <row r="37" spans="1:33">
      <c r="A37" s="593" t="s">
        <v>3032</v>
      </c>
      <c r="B37" s="39" t="s">
        <v>94</v>
      </c>
      <c r="C37" s="574" t="s">
        <v>101</v>
      </c>
      <c r="D37" s="574"/>
      <c r="E37" s="39">
        <v>25.98</v>
      </c>
      <c r="F37" s="486">
        <v>2597</v>
      </c>
      <c r="G37" s="480">
        <f t="shared" si="27"/>
        <v>67470.06</v>
      </c>
      <c r="H37" s="48" t="s">
        <v>126</v>
      </c>
      <c r="I37" s="484">
        <v>19</v>
      </c>
      <c r="J37" s="43">
        <v>2400</v>
      </c>
      <c r="K37" s="18">
        <f t="shared" si="1"/>
        <v>126.31578947368421</v>
      </c>
      <c r="L37" s="484">
        <v>19</v>
      </c>
      <c r="M37" s="19">
        <f t="shared" si="28"/>
        <v>2291.4705882352937</v>
      </c>
      <c r="N37" s="18">
        <f t="shared" si="3"/>
        <v>120.60371517027862</v>
      </c>
      <c r="O37" s="20">
        <f t="shared" si="4"/>
        <v>0</v>
      </c>
      <c r="P37" s="21">
        <f t="shared" si="5"/>
        <v>-5.7120743034055863</v>
      </c>
      <c r="Q37" s="479">
        <f t="shared" si="6"/>
        <v>0.95477941176470582</v>
      </c>
      <c r="R37" s="573"/>
      <c r="S37" s="49">
        <v>0.38611111111111107</v>
      </c>
      <c r="T37" s="49">
        <v>0.43333333333333329</v>
      </c>
      <c r="U37" s="480">
        <f t="shared" si="30"/>
        <v>5.9999999999999787</v>
      </c>
      <c r="V37" s="485">
        <f t="shared" si="29"/>
        <v>68</v>
      </c>
      <c r="W37" s="25"/>
      <c r="X37" s="25"/>
      <c r="Y37" s="25"/>
      <c r="Z37" s="25"/>
      <c r="AA37" s="575"/>
      <c r="AB37" s="575"/>
      <c r="AC37" s="27"/>
      <c r="AD37" s="27"/>
      <c r="AE37" s="20">
        <f t="shared" si="8"/>
        <v>-108.52941176470631</v>
      </c>
      <c r="AF37" s="479">
        <f t="shared" si="9"/>
        <v>0.95477941176470571</v>
      </c>
      <c r="AG37" s="573"/>
    </row>
    <row r="38" spans="1:33">
      <c r="A38" s="593" t="s">
        <v>3032</v>
      </c>
      <c r="B38" s="39" t="s">
        <v>94</v>
      </c>
      <c r="C38" s="574" t="s">
        <v>1231</v>
      </c>
      <c r="D38" s="574"/>
      <c r="E38" s="39">
        <v>25.99</v>
      </c>
      <c r="F38" s="486">
        <v>2700</v>
      </c>
      <c r="G38" s="480">
        <f t="shared" si="27"/>
        <v>70173</v>
      </c>
      <c r="H38" s="48" t="s">
        <v>126</v>
      </c>
      <c r="I38" s="484">
        <v>18</v>
      </c>
      <c r="J38" s="43">
        <v>2400</v>
      </c>
      <c r="K38" s="18">
        <f t="shared" si="1"/>
        <v>133.33333333333334</v>
      </c>
      <c r="L38" s="484">
        <v>18</v>
      </c>
      <c r="M38" s="19">
        <f t="shared" si="28"/>
        <v>2314.2857142857147</v>
      </c>
      <c r="N38" s="18">
        <f t="shared" si="3"/>
        <v>128.57142857142858</v>
      </c>
      <c r="O38" s="20">
        <f t="shared" si="4"/>
        <v>0</v>
      </c>
      <c r="P38" s="21">
        <f t="shared" si="5"/>
        <v>-4.7619047619047592</v>
      </c>
      <c r="Q38" s="479">
        <f t="shared" si="6"/>
        <v>0.9642857142857143</v>
      </c>
      <c r="R38" s="573"/>
      <c r="S38" s="49">
        <v>0.43888888888888883</v>
      </c>
      <c r="T38" s="49">
        <v>0.48749999999999993</v>
      </c>
      <c r="U38" s="480">
        <f t="shared" si="30"/>
        <v>7.9999999999999716</v>
      </c>
      <c r="V38" s="485">
        <f t="shared" si="29"/>
        <v>69.999999999999986</v>
      </c>
      <c r="W38" s="25">
        <f>T38</f>
        <v>0.48749999999999993</v>
      </c>
      <c r="X38" s="25">
        <f>S39</f>
        <v>0.52777777777777768</v>
      </c>
      <c r="Y38" s="25"/>
      <c r="Z38" s="25"/>
      <c r="AA38" s="575"/>
      <c r="AB38" s="575"/>
      <c r="AC38" s="27"/>
      <c r="AD38" s="27"/>
      <c r="AE38" s="20">
        <f t="shared" si="8"/>
        <v>-85.714285714285325</v>
      </c>
      <c r="AF38" s="479">
        <f t="shared" si="9"/>
        <v>0.96428571428571441</v>
      </c>
      <c r="AG38" s="573"/>
    </row>
    <row r="39" spans="1:33">
      <c r="A39" s="593" t="s">
        <v>3032</v>
      </c>
      <c r="B39" s="39" t="s">
        <v>94</v>
      </c>
      <c r="C39" s="574" t="s">
        <v>102</v>
      </c>
      <c r="D39" s="574"/>
      <c r="E39" s="39">
        <v>34.1</v>
      </c>
      <c r="F39" s="486">
        <v>2026</v>
      </c>
      <c r="G39" s="480">
        <f t="shared" si="27"/>
        <v>69086.600000000006</v>
      </c>
      <c r="H39" s="48" t="s">
        <v>126</v>
      </c>
      <c r="I39" s="484">
        <v>17</v>
      </c>
      <c r="J39" s="43">
        <v>1600</v>
      </c>
      <c r="K39" s="18">
        <f t="shared" si="1"/>
        <v>94.117647058823536</v>
      </c>
      <c r="L39" s="484">
        <v>17</v>
      </c>
      <c r="M39" s="19">
        <f t="shared" si="28"/>
        <v>1538.7341772151892</v>
      </c>
      <c r="N39" s="18">
        <f t="shared" si="3"/>
        <v>90.513775130305248</v>
      </c>
      <c r="O39" s="20">
        <f t="shared" si="4"/>
        <v>0</v>
      </c>
      <c r="P39" s="21">
        <f t="shared" si="5"/>
        <v>-3.6038719285182879</v>
      </c>
      <c r="Q39" s="479">
        <f t="shared" si="6"/>
        <v>0.96170886075949324</v>
      </c>
      <c r="R39" s="573"/>
      <c r="S39" s="49">
        <v>0.52777777777777768</v>
      </c>
      <c r="T39" s="49">
        <v>0.58263888888888882</v>
      </c>
      <c r="U39" s="480">
        <f t="shared" si="30"/>
        <v>57.999999999999957</v>
      </c>
      <c r="V39" s="485">
        <f t="shared" si="29"/>
        <v>79.000000000000043</v>
      </c>
      <c r="W39" s="25"/>
      <c r="X39" s="25"/>
      <c r="Y39" s="25"/>
      <c r="Z39" s="25"/>
      <c r="AA39" s="575"/>
      <c r="AB39" s="575"/>
      <c r="AC39" s="27"/>
      <c r="AD39" s="27"/>
      <c r="AE39" s="20">
        <f t="shared" si="8"/>
        <v>-61.26582278481078</v>
      </c>
      <c r="AF39" s="479">
        <f t="shared" si="9"/>
        <v>0.96170886075949324</v>
      </c>
      <c r="AG39" s="573"/>
    </row>
    <row r="40" spans="1:33">
      <c r="A40" s="593" t="s">
        <v>3032</v>
      </c>
      <c r="B40" s="39" t="s">
        <v>94</v>
      </c>
      <c r="C40" s="574" t="s">
        <v>530</v>
      </c>
      <c r="D40" s="574"/>
      <c r="E40" s="39">
        <v>26.18</v>
      </c>
      <c r="F40" s="486">
        <v>2124</v>
      </c>
      <c r="G40" s="480">
        <f t="shared" si="27"/>
        <v>55606.32</v>
      </c>
      <c r="H40" s="48" t="s">
        <v>126</v>
      </c>
      <c r="I40" s="484">
        <v>20</v>
      </c>
      <c r="J40" s="43">
        <v>2400</v>
      </c>
      <c r="K40" s="18">
        <f t="shared" si="1"/>
        <v>120</v>
      </c>
      <c r="L40" s="484">
        <v>20</v>
      </c>
      <c r="M40" s="19">
        <f t="shared" si="28"/>
        <v>2317.0909090909108</v>
      </c>
      <c r="N40" s="18">
        <f t="shared" si="3"/>
        <v>115.85454545454554</v>
      </c>
      <c r="O40" s="20">
        <f t="shared" si="4"/>
        <v>0</v>
      </c>
      <c r="P40" s="21">
        <f t="shared" si="5"/>
        <v>-4.1454545454544558</v>
      </c>
      <c r="Q40" s="479">
        <f t="shared" si="6"/>
        <v>0.96545454545454623</v>
      </c>
      <c r="R40" s="573"/>
      <c r="S40" s="49">
        <v>0.58611111111111103</v>
      </c>
      <c r="T40" s="49">
        <v>0.62430555555555545</v>
      </c>
      <c r="U40" s="480">
        <f t="shared" si="30"/>
        <v>4.9999999999999822</v>
      </c>
      <c r="V40" s="485">
        <f t="shared" si="29"/>
        <v>54.999999999999964</v>
      </c>
      <c r="W40" s="25"/>
      <c r="X40" s="25"/>
      <c r="Y40" s="28"/>
      <c r="Z40" s="28"/>
      <c r="AA40" s="568"/>
      <c r="AB40" s="569"/>
      <c r="AC40" s="27"/>
      <c r="AD40" s="27"/>
      <c r="AE40" s="20">
        <f t="shared" si="8"/>
        <v>-82.909090909089173</v>
      </c>
      <c r="AF40" s="479">
        <f t="shared" si="9"/>
        <v>0.96545454545454623</v>
      </c>
      <c r="AG40" s="573"/>
    </row>
    <row r="41" spans="1:33">
      <c r="A41" s="593" t="s">
        <v>3032</v>
      </c>
      <c r="B41" s="42" t="s">
        <v>3027</v>
      </c>
      <c r="C41" s="576"/>
      <c r="D41" s="576"/>
      <c r="E41" s="481"/>
      <c r="F41" s="42"/>
      <c r="G41" s="18"/>
      <c r="H41" s="486"/>
      <c r="I41" s="32">
        <v>17.857142857142858</v>
      </c>
      <c r="J41" s="43">
        <v>2171.4285714285716</v>
      </c>
      <c r="K41" s="18">
        <f t="shared" si="1"/>
        <v>121.60000000000001</v>
      </c>
      <c r="L41" s="32">
        <v>17.857142857142858</v>
      </c>
      <c r="M41" s="19">
        <f>AVERAGE(M34:M40)</f>
        <v>2085.0765881287975</v>
      </c>
      <c r="N41" s="18">
        <f t="shared" si="3"/>
        <v>116.76428893521266</v>
      </c>
      <c r="O41" s="20">
        <f t="shared" si="4"/>
        <v>0</v>
      </c>
      <c r="P41" s="21">
        <f t="shared" si="5"/>
        <v>-4.8357110647873469</v>
      </c>
      <c r="Q41" s="479">
        <f t="shared" si="6"/>
        <v>0.96023263926984093</v>
      </c>
      <c r="R41" s="573"/>
      <c r="S41" s="49"/>
      <c r="T41" s="49"/>
      <c r="U41" s="18"/>
      <c r="V41" s="485"/>
      <c r="W41" s="18"/>
      <c r="X41" s="18"/>
      <c r="Y41" s="33">
        <f>SUM(Y34:Y40)</f>
        <v>0</v>
      </c>
      <c r="Z41" s="33">
        <f>SUM(Z34:Z40)</f>
        <v>0</v>
      </c>
      <c r="AA41" s="572"/>
      <c r="AB41" s="572"/>
      <c r="AC41" s="33">
        <v>7</v>
      </c>
      <c r="AD41" s="33">
        <f>SUM(AD34:AD40)</f>
        <v>0</v>
      </c>
      <c r="AE41" s="20">
        <f t="shared" si="8"/>
        <v>-86.35198329977402</v>
      </c>
      <c r="AF41" s="479">
        <f t="shared" si="9"/>
        <v>0.96023263926984093</v>
      </c>
      <c r="AG41" s="573"/>
    </row>
    <row r="42" spans="1:33" ht="15.75" customHeight="1">
      <c r="A42" s="589" t="s">
        <v>3033</v>
      </c>
      <c r="B42" s="39" t="s">
        <v>104</v>
      </c>
      <c r="C42" s="566" t="s">
        <v>105</v>
      </c>
      <c r="D42" s="567"/>
      <c r="E42" s="39">
        <v>37.880000000000003</v>
      </c>
      <c r="F42" s="486">
        <v>963</v>
      </c>
      <c r="G42" s="480">
        <f t="shared" ref="G42:G45" si="31">E42*F42</f>
        <v>36478.44</v>
      </c>
      <c r="H42" s="48" t="s">
        <v>126</v>
      </c>
      <c r="I42" s="484">
        <v>13</v>
      </c>
      <c r="J42" s="43">
        <v>2000</v>
      </c>
      <c r="K42" s="18">
        <f t="shared" si="1"/>
        <v>153.84615384615384</v>
      </c>
      <c r="L42" s="484">
        <v>13</v>
      </c>
      <c r="M42" s="19">
        <f t="shared" ref="M42:M45" si="32">F42/V42*60</f>
        <v>1926.0000000000005</v>
      </c>
      <c r="N42" s="19">
        <f t="shared" si="3"/>
        <v>148.15384615384619</v>
      </c>
      <c r="O42" s="20">
        <f t="shared" si="4"/>
        <v>0</v>
      </c>
      <c r="P42" s="21">
        <f t="shared" si="5"/>
        <v>-5.6923076923076508</v>
      </c>
      <c r="Q42" s="479">
        <f t="shared" si="6"/>
        <v>0.9630000000000003</v>
      </c>
      <c r="R42" s="584">
        <f>Q46</f>
        <v>0.95404414609170551</v>
      </c>
      <c r="S42" s="49">
        <v>8.3333333333333329E-2</v>
      </c>
      <c r="T42" s="49">
        <v>0.10416666666666666</v>
      </c>
      <c r="U42" s="30"/>
      <c r="V42" s="485">
        <f t="shared" ref="V42:V45" si="33">(T42-S42)*24*60</f>
        <v>29.999999999999993</v>
      </c>
      <c r="W42" s="25">
        <f>T42</f>
        <v>0.10416666666666666</v>
      </c>
      <c r="X42" s="25">
        <f>S43</f>
        <v>0.12222222222222222</v>
      </c>
      <c r="Y42" s="28"/>
      <c r="Z42" s="28"/>
      <c r="AA42" s="568"/>
      <c r="AB42" s="569"/>
      <c r="AC42" s="27">
        <v>4</v>
      </c>
      <c r="AD42" s="27"/>
      <c r="AE42" s="20">
        <f t="shared" si="8"/>
        <v>-73.999999999999545</v>
      </c>
      <c r="AF42" s="479">
        <f t="shared" si="9"/>
        <v>0.96300000000000019</v>
      </c>
      <c r="AG42" s="584">
        <f>AF46</f>
        <v>0.95404414609170551</v>
      </c>
    </row>
    <row r="43" spans="1:33" ht="15.75" customHeight="1">
      <c r="A43" s="590" t="s">
        <v>3033</v>
      </c>
      <c r="B43" s="39" t="s">
        <v>104</v>
      </c>
      <c r="C43" s="566" t="s">
        <v>106</v>
      </c>
      <c r="D43" s="567"/>
      <c r="E43" s="39">
        <v>35.119999999999997</v>
      </c>
      <c r="F43" s="486">
        <v>4576</v>
      </c>
      <c r="G43" s="480">
        <f t="shared" si="31"/>
        <v>160709.12</v>
      </c>
      <c r="H43" s="48" t="s">
        <v>126</v>
      </c>
      <c r="I43" s="484">
        <v>10</v>
      </c>
      <c r="J43" s="43">
        <v>3000</v>
      </c>
      <c r="K43" s="18">
        <f t="shared" si="1"/>
        <v>300</v>
      </c>
      <c r="L43" s="484">
        <v>10</v>
      </c>
      <c r="M43" s="19">
        <f t="shared" si="32"/>
        <v>2860</v>
      </c>
      <c r="N43" s="19">
        <f t="shared" si="3"/>
        <v>286</v>
      </c>
      <c r="O43" s="20">
        <f t="shared" si="4"/>
        <v>0</v>
      </c>
      <c r="P43" s="21">
        <f t="shared" si="5"/>
        <v>-14</v>
      </c>
      <c r="Q43" s="479">
        <f t="shared" si="6"/>
        <v>0.95333333333333337</v>
      </c>
      <c r="R43" s="585"/>
      <c r="S43" s="49">
        <v>0.12222222222222222</v>
      </c>
      <c r="T43" s="49">
        <v>0.18888888888888888</v>
      </c>
      <c r="U43" s="480">
        <f t="shared" ref="U43:U45" si="34">(S43-T42)*24*60</f>
        <v>26.000000000000007</v>
      </c>
      <c r="V43" s="485">
        <f t="shared" si="33"/>
        <v>96</v>
      </c>
      <c r="W43" s="25"/>
      <c r="X43" s="25"/>
      <c r="Y43" s="28"/>
      <c r="Z43" s="28"/>
      <c r="AA43" s="568"/>
      <c r="AB43" s="569"/>
      <c r="AC43" s="27"/>
      <c r="AD43" s="27"/>
      <c r="AE43" s="20">
        <f t="shared" si="8"/>
        <v>-140</v>
      </c>
      <c r="AF43" s="479">
        <f t="shared" si="9"/>
        <v>0.95333333333333337</v>
      </c>
      <c r="AG43" s="585"/>
    </row>
    <row r="44" spans="1:33" ht="15.75" customHeight="1">
      <c r="A44" s="590" t="s">
        <v>3033</v>
      </c>
      <c r="B44" s="39" t="s">
        <v>104</v>
      </c>
      <c r="C44" s="566" t="s">
        <v>107</v>
      </c>
      <c r="D44" s="567"/>
      <c r="E44" s="39">
        <v>21.13</v>
      </c>
      <c r="F44" s="486">
        <v>4470</v>
      </c>
      <c r="G44" s="480">
        <f t="shared" si="31"/>
        <v>94451.099999999991</v>
      </c>
      <c r="H44" s="48" t="s">
        <v>126</v>
      </c>
      <c r="I44" s="484">
        <v>10</v>
      </c>
      <c r="J44" s="43">
        <v>3000</v>
      </c>
      <c r="K44" s="18">
        <f t="shared" si="1"/>
        <v>300</v>
      </c>
      <c r="L44" s="484">
        <v>10</v>
      </c>
      <c r="M44" s="19">
        <f t="shared" si="32"/>
        <v>2853.1914893617013</v>
      </c>
      <c r="N44" s="19">
        <f t="shared" si="3"/>
        <v>285.31914893617011</v>
      </c>
      <c r="O44" s="20">
        <f t="shared" si="4"/>
        <v>0</v>
      </c>
      <c r="P44" s="21">
        <f t="shared" si="5"/>
        <v>-14.680851063829891</v>
      </c>
      <c r="Q44" s="479">
        <f t="shared" si="6"/>
        <v>0.95106382978723369</v>
      </c>
      <c r="R44" s="585"/>
      <c r="S44" s="49">
        <v>0.19375000000000001</v>
      </c>
      <c r="T44" s="49">
        <v>0.2590277777777778</v>
      </c>
      <c r="U44" s="480">
        <f t="shared" si="34"/>
        <v>7.0000000000000151</v>
      </c>
      <c r="V44" s="485">
        <f t="shared" si="33"/>
        <v>94.000000000000028</v>
      </c>
      <c r="W44" s="25"/>
      <c r="X44" s="25"/>
      <c r="Y44" s="28"/>
      <c r="Z44" s="28"/>
      <c r="AA44" s="568"/>
      <c r="AB44" s="569"/>
      <c r="AC44" s="27"/>
      <c r="AD44" s="27"/>
      <c r="AE44" s="20">
        <f t="shared" si="8"/>
        <v>-146.80851063829869</v>
      </c>
      <c r="AF44" s="479">
        <f t="shared" si="9"/>
        <v>0.95106382978723381</v>
      </c>
      <c r="AG44" s="585"/>
    </row>
    <row r="45" spans="1:33" ht="15.75" customHeight="1">
      <c r="A45" s="590" t="s">
        <v>3033</v>
      </c>
      <c r="B45" s="39" t="s">
        <v>104</v>
      </c>
      <c r="C45" s="566" t="s">
        <v>108</v>
      </c>
      <c r="D45" s="567"/>
      <c r="E45" s="39">
        <v>27.17</v>
      </c>
      <c r="F45" s="486">
        <v>5663</v>
      </c>
      <c r="G45" s="480">
        <f t="shared" si="31"/>
        <v>153863.71000000002</v>
      </c>
      <c r="H45" s="48" t="s">
        <v>126</v>
      </c>
      <c r="I45" s="484">
        <v>10</v>
      </c>
      <c r="J45" s="43">
        <v>3000</v>
      </c>
      <c r="K45" s="18">
        <f t="shared" si="1"/>
        <v>300</v>
      </c>
      <c r="L45" s="484">
        <v>10</v>
      </c>
      <c r="M45" s="19">
        <f t="shared" si="32"/>
        <v>2855.2941176470595</v>
      </c>
      <c r="N45" s="19">
        <f t="shared" si="3"/>
        <v>285.52941176470597</v>
      </c>
      <c r="O45" s="20">
        <f t="shared" si="4"/>
        <v>0</v>
      </c>
      <c r="P45" s="21">
        <f t="shared" si="5"/>
        <v>-14.470588235294031</v>
      </c>
      <c r="Q45" s="479">
        <f t="shared" si="6"/>
        <v>0.95176470588235318</v>
      </c>
      <c r="R45" s="585"/>
      <c r="S45" s="49">
        <v>0.26458333333333334</v>
      </c>
      <c r="T45" s="49">
        <v>0.34722222222222221</v>
      </c>
      <c r="U45" s="480">
        <f t="shared" si="34"/>
        <v>7.9999999999999716</v>
      </c>
      <c r="V45" s="485">
        <f t="shared" si="33"/>
        <v>118.99999999999997</v>
      </c>
      <c r="W45" s="25"/>
      <c r="X45" s="25"/>
      <c r="Y45" s="28"/>
      <c r="Z45" s="28"/>
      <c r="AA45" s="568"/>
      <c r="AB45" s="569"/>
      <c r="AC45" s="27"/>
      <c r="AD45" s="27"/>
      <c r="AE45" s="20">
        <f t="shared" si="8"/>
        <v>-144.70588235294053</v>
      </c>
      <c r="AF45" s="479">
        <f t="shared" si="9"/>
        <v>0.95176470588235318</v>
      </c>
      <c r="AG45" s="585"/>
    </row>
    <row r="46" spans="1:33" ht="15.75" customHeight="1">
      <c r="A46" s="591" t="s">
        <v>3033</v>
      </c>
      <c r="B46" s="39" t="s">
        <v>3027</v>
      </c>
      <c r="C46" s="570"/>
      <c r="D46" s="571"/>
      <c r="E46" s="477"/>
      <c r="F46" s="486"/>
      <c r="G46" s="480"/>
      <c r="H46" s="486"/>
      <c r="I46" s="32">
        <v>10.75</v>
      </c>
      <c r="J46" s="43">
        <v>2750</v>
      </c>
      <c r="K46" s="18">
        <f t="shared" si="1"/>
        <v>255.81395348837211</v>
      </c>
      <c r="L46" s="32">
        <v>10.75</v>
      </c>
      <c r="M46" s="19">
        <f>AVERAGE(M42:M45)</f>
        <v>2623.6214017521902</v>
      </c>
      <c r="N46" s="18">
        <f t="shared" si="3"/>
        <v>244.05780481415724</v>
      </c>
      <c r="O46" s="20">
        <f t="shared" si="4"/>
        <v>0</v>
      </c>
      <c r="P46" s="21">
        <f t="shared" si="5"/>
        <v>-11.75614867421487</v>
      </c>
      <c r="Q46" s="479">
        <f t="shared" si="6"/>
        <v>0.95404414609170551</v>
      </c>
      <c r="R46" s="586"/>
      <c r="S46" s="49"/>
      <c r="T46" s="49"/>
      <c r="U46" s="480"/>
      <c r="V46" s="485"/>
      <c r="W46" s="25"/>
      <c r="X46" s="25"/>
      <c r="Y46" s="33">
        <f>SUM(Y42:Y45)</f>
        <v>0</v>
      </c>
      <c r="Z46" s="33">
        <f>SUM(Z42:Z45)</f>
        <v>0</v>
      </c>
      <c r="AA46" s="587"/>
      <c r="AB46" s="588"/>
      <c r="AC46" s="33">
        <v>4</v>
      </c>
      <c r="AD46" s="33">
        <f>SUM(AD42:AD45)</f>
        <v>0</v>
      </c>
      <c r="AE46" s="20">
        <f t="shared" si="8"/>
        <v>-126.3785982478098</v>
      </c>
      <c r="AF46" s="479">
        <f t="shared" si="9"/>
        <v>0.95404414609170551</v>
      </c>
      <c r="AG46" s="586"/>
    </row>
    <row r="47" spans="1:33" ht="15.75" customHeight="1">
      <c r="A47" s="582" t="s">
        <v>3034</v>
      </c>
      <c r="B47" s="39" t="s">
        <v>79</v>
      </c>
      <c r="C47" s="574" t="s">
        <v>109</v>
      </c>
      <c r="D47" s="574"/>
      <c r="E47" s="39">
        <v>46</v>
      </c>
      <c r="F47" s="45">
        <v>2087</v>
      </c>
      <c r="G47" s="480">
        <f t="shared" ref="G47:G53" si="35">E47*F47</f>
        <v>96002</v>
      </c>
      <c r="H47" s="48" t="s">
        <v>126</v>
      </c>
      <c r="I47" s="484">
        <v>16</v>
      </c>
      <c r="J47" s="43">
        <v>2000</v>
      </c>
      <c r="K47" s="18">
        <f t="shared" si="1"/>
        <v>125</v>
      </c>
      <c r="L47" s="484">
        <v>16</v>
      </c>
      <c r="M47" s="19">
        <f t="shared" ref="M47" si="36">F47/V47*60</f>
        <v>1926.4615384615395</v>
      </c>
      <c r="N47" s="19">
        <f t="shared" si="3"/>
        <v>120.40384615384622</v>
      </c>
      <c r="O47" s="20">
        <f t="shared" si="4"/>
        <v>0</v>
      </c>
      <c r="P47" s="21">
        <f t="shared" si="5"/>
        <v>-4.5961538461537828</v>
      </c>
      <c r="Q47" s="479">
        <f t="shared" si="6"/>
        <v>0.96323076923076978</v>
      </c>
      <c r="R47" s="573">
        <f>Q54</f>
        <v>0.95745448337230576</v>
      </c>
      <c r="S47" s="49">
        <v>0.20833333333333334</v>
      </c>
      <c r="T47" s="49">
        <v>0.25347222222222221</v>
      </c>
      <c r="U47" s="30"/>
      <c r="V47" s="485">
        <f t="shared" ref="V47:V53" si="37">(T47-S47)*24*60</f>
        <v>64.999999999999972</v>
      </c>
      <c r="W47" s="30"/>
      <c r="X47" s="30"/>
      <c r="Y47" s="30"/>
      <c r="Z47" s="30"/>
      <c r="AA47" s="575"/>
      <c r="AB47" s="575"/>
      <c r="AC47" s="27">
        <v>7</v>
      </c>
      <c r="AD47" s="27"/>
      <c r="AE47" s="20">
        <f t="shared" si="8"/>
        <v>-73.538461538460524</v>
      </c>
      <c r="AF47" s="479">
        <f t="shared" si="9"/>
        <v>0.96323076923076978</v>
      </c>
      <c r="AG47" s="573">
        <f>AF54</f>
        <v>0.95745448337230565</v>
      </c>
    </row>
    <row r="48" spans="1:33" ht="15.75" customHeight="1">
      <c r="A48" s="582" t="s">
        <v>3034</v>
      </c>
      <c r="B48" s="39" t="s">
        <v>79</v>
      </c>
      <c r="C48" s="574" t="s">
        <v>1233</v>
      </c>
      <c r="D48" s="574"/>
      <c r="E48" s="39">
        <v>46</v>
      </c>
      <c r="F48" s="45">
        <v>3285</v>
      </c>
      <c r="G48" s="480">
        <f t="shared" si="35"/>
        <v>151110</v>
      </c>
      <c r="H48" s="48" t="s">
        <v>126</v>
      </c>
      <c r="I48" s="484">
        <v>16</v>
      </c>
      <c r="J48" s="43">
        <v>2000</v>
      </c>
      <c r="K48" s="18">
        <f t="shared" si="1"/>
        <v>125</v>
      </c>
      <c r="L48" s="484">
        <v>16</v>
      </c>
      <c r="M48" s="19">
        <f>F48/V48*60</f>
        <v>1913.5922330097094</v>
      </c>
      <c r="N48" s="19">
        <f t="shared" si="3"/>
        <v>119.59951456310684</v>
      </c>
      <c r="O48" s="20">
        <f t="shared" si="4"/>
        <v>0</v>
      </c>
      <c r="P48" s="21">
        <f t="shared" si="5"/>
        <v>-5.4004854368931632</v>
      </c>
      <c r="Q48" s="479">
        <f t="shared" si="6"/>
        <v>0.95679611650485474</v>
      </c>
      <c r="R48" s="573"/>
      <c r="S48" s="49">
        <v>0.25694444444444442</v>
      </c>
      <c r="T48" s="49">
        <v>0.32847222222222217</v>
      </c>
      <c r="U48" s="480">
        <f t="shared" ref="U48:U53" si="38">IF(S48=TIME(17,0,0),"",(S48-T47)*24*60)</f>
        <v>4.9999999999999822</v>
      </c>
      <c r="V48" s="485">
        <f t="shared" si="37"/>
        <v>102.99999999999996</v>
      </c>
      <c r="W48" s="25"/>
      <c r="X48" s="25"/>
      <c r="Y48" s="25"/>
      <c r="Z48" s="25"/>
      <c r="AA48" s="575"/>
      <c r="AB48" s="575"/>
      <c r="AC48" s="27"/>
      <c r="AD48" s="27"/>
      <c r="AE48" s="20">
        <f t="shared" si="8"/>
        <v>-86.407766990290611</v>
      </c>
      <c r="AF48" s="479">
        <f t="shared" si="9"/>
        <v>0.95679611650485474</v>
      </c>
      <c r="AG48" s="573"/>
    </row>
    <row r="49" spans="1:33" ht="15.75" customHeight="1">
      <c r="A49" s="582" t="s">
        <v>3034</v>
      </c>
      <c r="B49" s="39" t="s">
        <v>74</v>
      </c>
      <c r="C49" s="566" t="s">
        <v>111</v>
      </c>
      <c r="D49" s="567"/>
      <c r="E49" s="39">
        <v>51.75</v>
      </c>
      <c r="F49" s="45">
        <v>601</v>
      </c>
      <c r="G49" s="480">
        <f t="shared" si="35"/>
        <v>31101.75</v>
      </c>
      <c r="H49" s="48" t="s">
        <v>126</v>
      </c>
      <c r="I49" s="484">
        <v>25</v>
      </c>
      <c r="J49" s="43">
        <v>2000</v>
      </c>
      <c r="K49" s="18">
        <f t="shared" si="1"/>
        <v>80</v>
      </c>
      <c r="L49" s="484">
        <v>25</v>
      </c>
      <c r="M49" s="19">
        <f t="shared" ref="M49:M53" si="39">F49/V49*60</f>
        <v>1897.8947368420961</v>
      </c>
      <c r="N49" s="19">
        <f t="shared" si="3"/>
        <v>75.915789473683844</v>
      </c>
      <c r="O49" s="20">
        <f t="shared" si="4"/>
        <v>0</v>
      </c>
      <c r="P49" s="21">
        <f t="shared" si="5"/>
        <v>-4.0842105263161557</v>
      </c>
      <c r="Q49" s="479">
        <f t="shared" si="6"/>
        <v>0.9489473684210481</v>
      </c>
      <c r="R49" s="573"/>
      <c r="S49" s="49">
        <v>0.33333333333333326</v>
      </c>
      <c r="T49" s="49">
        <v>0.34652777777777777</v>
      </c>
      <c r="U49" s="480">
        <f t="shared" si="38"/>
        <v>6.9999999999999751</v>
      </c>
      <c r="V49" s="485">
        <f t="shared" si="37"/>
        <v>19.000000000000092</v>
      </c>
      <c r="W49" s="25"/>
      <c r="X49" s="25"/>
      <c r="Y49" s="28"/>
      <c r="Z49" s="28"/>
      <c r="AA49" s="575"/>
      <c r="AB49" s="575"/>
      <c r="AC49" s="27"/>
      <c r="AD49" s="27"/>
      <c r="AE49" s="20">
        <f t="shared" si="8"/>
        <v>-102.10526315790389</v>
      </c>
      <c r="AF49" s="479">
        <f t="shared" si="9"/>
        <v>0.9489473684210481</v>
      </c>
      <c r="AG49" s="573"/>
    </row>
    <row r="50" spans="1:33" ht="15.75" customHeight="1">
      <c r="A50" s="582" t="s">
        <v>3034</v>
      </c>
      <c r="B50" s="39" t="s">
        <v>74</v>
      </c>
      <c r="C50" s="482" t="s">
        <v>110</v>
      </c>
      <c r="D50" s="483"/>
      <c r="E50" s="39">
        <v>56.43</v>
      </c>
      <c r="F50" s="45">
        <v>1160</v>
      </c>
      <c r="G50" s="480">
        <f t="shared" si="35"/>
        <v>65458.8</v>
      </c>
      <c r="H50" s="48" t="s">
        <v>126</v>
      </c>
      <c r="I50" s="484">
        <v>22</v>
      </c>
      <c r="J50" s="43">
        <v>2000</v>
      </c>
      <c r="K50" s="18">
        <f t="shared" si="1"/>
        <v>90.909090909090907</v>
      </c>
      <c r="L50" s="484">
        <v>22</v>
      </c>
      <c r="M50" s="19">
        <f t="shared" si="39"/>
        <v>1933.3333333333321</v>
      </c>
      <c r="N50" s="19">
        <f t="shared" si="3"/>
        <v>87.878787878787818</v>
      </c>
      <c r="O50" s="20">
        <f t="shared" si="4"/>
        <v>0</v>
      </c>
      <c r="P50" s="21">
        <f t="shared" si="5"/>
        <v>-3.030303030303088</v>
      </c>
      <c r="Q50" s="479">
        <f t="shared" si="6"/>
        <v>0.96666666666666601</v>
      </c>
      <c r="R50" s="573"/>
      <c r="S50" s="49">
        <v>0.35069444444444436</v>
      </c>
      <c r="T50" s="49">
        <v>0.37569444444444439</v>
      </c>
      <c r="U50" s="480">
        <f t="shared" si="38"/>
        <v>5.9999999999998987</v>
      </c>
      <c r="V50" s="485">
        <f t="shared" si="37"/>
        <v>36.000000000000028</v>
      </c>
      <c r="W50" s="25"/>
      <c r="X50" s="25"/>
      <c r="Y50" s="28"/>
      <c r="Z50" s="28"/>
      <c r="AA50" s="575"/>
      <c r="AB50" s="575"/>
      <c r="AC50" s="27"/>
      <c r="AD50" s="27"/>
      <c r="AE50" s="20">
        <f t="shared" si="8"/>
        <v>-66.666666666667879</v>
      </c>
      <c r="AF50" s="479">
        <f t="shared" si="9"/>
        <v>0.96666666666666601</v>
      </c>
      <c r="AG50" s="573"/>
    </row>
    <row r="51" spans="1:33" ht="15.75" customHeight="1">
      <c r="A51" s="582" t="s">
        <v>3034</v>
      </c>
      <c r="B51" s="39" t="s">
        <v>74</v>
      </c>
      <c r="C51" s="482" t="s">
        <v>88</v>
      </c>
      <c r="D51" s="483"/>
      <c r="E51" s="39">
        <v>59.04</v>
      </c>
      <c r="F51" s="45">
        <v>2916</v>
      </c>
      <c r="G51" s="480">
        <f t="shared" si="35"/>
        <v>172160.63999999998</v>
      </c>
      <c r="H51" s="48" t="s">
        <v>126</v>
      </c>
      <c r="I51" s="484">
        <v>19</v>
      </c>
      <c r="J51" s="43">
        <v>2000</v>
      </c>
      <c r="K51" s="18">
        <f t="shared" si="1"/>
        <v>105.26315789473684</v>
      </c>
      <c r="L51" s="484">
        <v>19</v>
      </c>
      <c r="M51" s="19">
        <f t="shared" si="39"/>
        <v>1922.6373626373627</v>
      </c>
      <c r="N51" s="19">
        <f t="shared" si="3"/>
        <v>101.19144013880856</v>
      </c>
      <c r="O51" s="20">
        <f t="shared" si="4"/>
        <v>0</v>
      </c>
      <c r="P51" s="21">
        <f t="shared" si="5"/>
        <v>-4.071717755928276</v>
      </c>
      <c r="Q51" s="479">
        <f t="shared" si="6"/>
        <v>0.96131868131868137</v>
      </c>
      <c r="R51" s="573"/>
      <c r="S51" s="49">
        <v>0.37986111111111104</v>
      </c>
      <c r="T51" s="49">
        <v>0.44305555555555548</v>
      </c>
      <c r="U51" s="480">
        <f t="shared" si="38"/>
        <v>5.9999999999999787</v>
      </c>
      <c r="V51" s="485">
        <f t="shared" si="37"/>
        <v>91</v>
      </c>
      <c r="W51" s="25"/>
      <c r="X51" s="25"/>
      <c r="Y51" s="28"/>
      <c r="Z51" s="28"/>
      <c r="AA51" s="575"/>
      <c r="AB51" s="575"/>
      <c r="AC51" s="27"/>
      <c r="AD51" s="27"/>
      <c r="AE51" s="20">
        <f t="shared" si="8"/>
        <v>-77.362637362637315</v>
      </c>
      <c r="AF51" s="479">
        <f t="shared" si="9"/>
        <v>0.96131868131868137</v>
      </c>
      <c r="AG51" s="573"/>
    </row>
    <row r="52" spans="1:33" ht="15.75" customHeight="1">
      <c r="A52" s="582" t="s">
        <v>3034</v>
      </c>
      <c r="B52" s="39" t="s">
        <v>74</v>
      </c>
      <c r="C52" s="566" t="s">
        <v>113</v>
      </c>
      <c r="D52" s="567"/>
      <c r="E52" s="39">
        <v>55.56</v>
      </c>
      <c r="F52" s="45">
        <v>1874</v>
      </c>
      <c r="G52" s="480">
        <f t="shared" si="35"/>
        <v>104119.44</v>
      </c>
      <c r="H52" s="48" t="s">
        <v>126</v>
      </c>
      <c r="I52" s="484">
        <v>17</v>
      </c>
      <c r="J52" s="43">
        <v>2000</v>
      </c>
      <c r="K52" s="18">
        <f t="shared" si="1"/>
        <v>117.64705882352941</v>
      </c>
      <c r="L52" s="484">
        <v>17</v>
      </c>
      <c r="M52" s="19">
        <f t="shared" si="39"/>
        <v>1905.7627118644084</v>
      </c>
      <c r="N52" s="19">
        <f t="shared" si="3"/>
        <v>112.10368893320049</v>
      </c>
      <c r="O52" s="20">
        <f t="shared" si="4"/>
        <v>0</v>
      </c>
      <c r="P52" s="21">
        <f t="shared" si="5"/>
        <v>-5.5433698903289184</v>
      </c>
      <c r="Q52" s="479">
        <f t="shared" si="6"/>
        <v>0.95288135593220424</v>
      </c>
      <c r="R52" s="573"/>
      <c r="S52" s="49">
        <v>0.70833333333333337</v>
      </c>
      <c r="T52" s="49">
        <v>0.74930555555555556</v>
      </c>
      <c r="U52" s="480" t="str">
        <f t="shared" si="38"/>
        <v/>
      </c>
      <c r="V52" s="485">
        <f t="shared" si="37"/>
        <v>58.99999999999995</v>
      </c>
      <c r="W52" s="25"/>
      <c r="X52" s="25"/>
      <c r="Y52" s="28"/>
      <c r="Z52" s="28"/>
      <c r="AA52" s="568"/>
      <c r="AB52" s="569"/>
      <c r="AC52" s="27"/>
      <c r="AD52" s="27"/>
      <c r="AE52" s="20">
        <f t="shared" si="8"/>
        <v>-94.237288135591598</v>
      </c>
      <c r="AF52" s="479">
        <f t="shared" si="9"/>
        <v>0.95288135593220424</v>
      </c>
      <c r="AG52" s="573"/>
    </row>
    <row r="53" spans="1:33" ht="15.75" customHeight="1">
      <c r="A53" s="582" t="s">
        <v>3034</v>
      </c>
      <c r="B53" s="39" t="s">
        <v>74</v>
      </c>
      <c r="C53" s="566" t="s">
        <v>1826</v>
      </c>
      <c r="D53" s="567"/>
      <c r="E53" s="39">
        <v>51.06</v>
      </c>
      <c r="F53" s="45">
        <v>2984</v>
      </c>
      <c r="G53" s="480">
        <f t="shared" si="35"/>
        <v>152363.04</v>
      </c>
      <c r="H53" s="48" t="s">
        <v>126</v>
      </c>
      <c r="I53" s="484">
        <v>13</v>
      </c>
      <c r="J53" s="43">
        <v>2000</v>
      </c>
      <c r="K53" s="18">
        <f t="shared" si="1"/>
        <v>153.84615384615384</v>
      </c>
      <c r="L53" s="484">
        <v>13</v>
      </c>
      <c r="M53" s="19">
        <f t="shared" si="39"/>
        <v>1904.68085106383</v>
      </c>
      <c r="N53" s="19">
        <f t="shared" si="3"/>
        <v>146.51391162029461</v>
      </c>
      <c r="O53" s="20">
        <f t="shared" si="4"/>
        <v>0</v>
      </c>
      <c r="P53" s="21">
        <f t="shared" si="5"/>
        <v>-7.3322422258592326</v>
      </c>
      <c r="Q53" s="479">
        <f t="shared" si="6"/>
        <v>0.952340425531915</v>
      </c>
      <c r="R53" s="573"/>
      <c r="S53" s="49">
        <v>0.75347222222222221</v>
      </c>
      <c r="T53" s="49">
        <v>0.81874999999999998</v>
      </c>
      <c r="U53" s="480">
        <f t="shared" si="38"/>
        <v>5.9999999999999787</v>
      </c>
      <c r="V53" s="485">
        <f t="shared" si="37"/>
        <v>93.999999999999986</v>
      </c>
      <c r="W53" s="25"/>
      <c r="X53" s="25"/>
      <c r="Y53" s="28"/>
      <c r="Z53" s="28"/>
      <c r="AA53" s="568"/>
      <c r="AB53" s="569"/>
      <c r="AC53" s="27"/>
      <c r="AD53" s="27"/>
      <c r="AE53" s="20">
        <f t="shared" si="8"/>
        <v>-95.319148936169995</v>
      </c>
      <c r="AF53" s="479">
        <f t="shared" si="9"/>
        <v>0.952340425531915</v>
      </c>
      <c r="AG53" s="573"/>
    </row>
    <row r="54" spans="1:33">
      <c r="A54" s="583" t="s">
        <v>3034</v>
      </c>
      <c r="B54" s="39" t="s">
        <v>3027</v>
      </c>
      <c r="C54" s="576"/>
      <c r="D54" s="576"/>
      <c r="E54" s="481"/>
      <c r="F54" s="42"/>
      <c r="G54" s="18"/>
      <c r="H54" s="486"/>
      <c r="I54" s="32">
        <v>18.285714285714285</v>
      </c>
      <c r="J54" s="43">
        <v>2000</v>
      </c>
      <c r="K54" s="18">
        <f t="shared" si="1"/>
        <v>109.375</v>
      </c>
      <c r="L54" s="32">
        <v>18.285714285714285</v>
      </c>
      <c r="M54" s="19">
        <f>AVERAGE(M47:M53)</f>
        <v>1914.9089667446112</v>
      </c>
      <c r="N54" s="18">
        <f t="shared" si="3"/>
        <v>104.72158411884594</v>
      </c>
      <c r="O54" s="20">
        <f t="shared" si="4"/>
        <v>0</v>
      </c>
      <c r="P54" s="21">
        <f t="shared" si="5"/>
        <v>-4.6534158811540607</v>
      </c>
      <c r="Q54" s="479">
        <f t="shared" si="6"/>
        <v>0.95745448337230576</v>
      </c>
      <c r="R54" s="573"/>
      <c r="S54" s="49"/>
      <c r="T54" s="49"/>
      <c r="U54" s="480"/>
      <c r="V54" s="485"/>
      <c r="W54" s="18"/>
      <c r="X54" s="18"/>
      <c r="Y54" s="33">
        <f>SUM(Y47:Y53)</f>
        <v>0</v>
      </c>
      <c r="Z54" s="33">
        <f>SUM(Z47:Z53)</f>
        <v>0</v>
      </c>
      <c r="AA54" s="572"/>
      <c r="AB54" s="572"/>
      <c r="AC54" s="33">
        <v>7</v>
      </c>
      <c r="AD54" s="33">
        <f>SUM(AD47:AD53)</f>
        <v>0</v>
      </c>
      <c r="AE54" s="20">
        <f>M54-J54</f>
        <v>-85.091033255388766</v>
      </c>
      <c r="AF54" s="479">
        <f t="shared" si="9"/>
        <v>0.95745448337230565</v>
      </c>
      <c r="AG54" s="573"/>
    </row>
    <row r="55" spans="1:33" ht="15.75" customHeight="1">
      <c r="A55" s="580" t="s">
        <v>3035</v>
      </c>
      <c r="B55" s="486" t="s">
        <v>104</v>
      </c>
      <c r="C55" s="574" t="s">
        <v>115</v>
      </c>
      <c r="D55" s="574"/>
      <c r="E55" s="39">
        <v>34.36</v>
      </c>
      <c r="F55" s="45">
        <v>1898</v>
      </c>
      <c r="G55" s="480">
        <f t="shared" ref="G55:G59" si="40">E55*F55</f>
        <v>65215.28</v>
      </c>
      <c r="H55" s="48" t="s">
        <v>126</v>
      </c>
      <c r="I55" s="484">
        <v>10</v>
      </c>
      <c r="J55" s="43">
        <v>3000</v>
      </c>
      <c r="K55" s="18">
        <f t="shared" si="1"/>
        <v>300</v>
      </c>
      <c r="L55" s="484">
        <v>10</v>
      </c>
      <c r="M55" s="19">
        <f t="shared" ref="M55:M59" si="41">F55/V55*60</f>
        <v>2920.0000000000014</v>
      </c>
      <c r="N55" s="18">
        <f t="shared" si="3"/>
        <v>292.00000000000011</v>
      </c>
      <c r="O55" s="20">
        <f t="shared" si="4"/>
        <v>0</v>
      </c>
      <c r="P55" s="21">
        <f t="shared" si="5"/>
        <v>-7.9999999999998863</v>
      </c>
      <c r="Q55" s="479">
        <f t="shared" si="6"/>
        <v>0.97333333333333372</v>
      </c>
      <c r="R55" s="573">
        <f>Q60</f>
        <v>0.96474159663865611</v>
      </c>
      <c r="S55" s="49">
        <v>0.20833333333333334</v>
      </c>
      <c r="T55" s="49">
        <v>0.23541666666666666</v>
      </c>
      <c r="U55" s="480"/>
      <c r="V55" s="485">
        <f t="shared" ref="V55:V59" si="42">(T55-S55)*24*60</f>
        <v>38.999999999999979</v>
      </c>
      <c r="W55" s="30"/>
      <c r="X55" s="30"/>
      <c r="Y55" s="30"/>
      <c r="Z55" s="30"/>
      <c r="AA55" s="575"/>
      <c r="AB55" s="575"/>
      <c r="AC55" s="27">
        <v>5</v>
      </c>
      <c r="AD55" s="27"/>
      <c r="AE55" s="20">
        <f t="shared" ref="AE55:AE67" si="43">M55-J55</f>
        <v>-79.999999999998636</v>
      </c>
      <c r="AF55" s="479">
        <f t="shared" si="9"/>
        <v>0.97333333333333383</v>
      </c>
      <c r="AG55" s="573">
        <f>AF60</f>
        <v>0.96474159663865611</v>
      </c>
    </row>
    <row r="56" spans="1:33" ht="15.75" customHeight="1">
      <c r="A56" s="580" t="s">
        <v>3035</v>
      </c>
      <c r="B56" s="486" t="s">
        <v>104</v>
      </c>
      <c r="C56" s="574" t="s">
        <v>116</v>
      </c>
      <c r="D56" s="574"/>
      <c r="E56" s="39">
        <v>34.36</v>
      </c>
      <c r="F56" s="45">
        <v>771</v>
      </c>
      <c r="G56" s="480">
        <f t="shared" si="40"/>
        <v>26491.56</v>
      </c>
      <c r="H56" s="48" t="s">
        <v>126</v>
      </c>
      <c r="I56" s="484">
        <v>10</v>
      </c>
      <c r="J56" s="43">
        <v>3000</v>
      </c>
      <c r="K56" s="18">
        <f t="shared" si="1"/>
        <v>300</v>
      </c>
      <c r="L56" s="484">
        <v>10</v>
      </c>
      <c r="M56" s="19">
        <f t="shared" si="41"/>
        <v>2891.2500000000036</v>
      </c>
      <c r="N56" s="18">
        <f t="shared" si="3"/>
        <v>289.12500000000034</v>
      </c>
      <c r="O56" s="20">
        <f t="shared" si="4"/>
        <v>0</v>
      </c>
      <c r="P56" s="21">
        <f t="shared" si="5"/>
        <v>-10.874999999999659</v>
      </c>
      <c r="Q56" s="479">
        <f t="shared" si="6"/>
        <v>0.96375000000000111</v>
      </c>
      <c r="R56" s="573"/>
      <c r="S56" s="49">
        <v>0.24097222222222223</v>
      </c>
      <c r="T56" s="49">
        <v>0.25208333333333333</v>
      </c>
      <c r="U56" s="480">
        <f t="shared" ref="U56:U59" si="44">(S56-T55)*24*60</f>
        <v>8.0000000000000107</v>
      </c>
      <c r="V56" s="485">
        <f t="shared" si="42"/>
        <v>15.999999999999982</v>
      </c>
      <c r="W56" s="480"/>
      <c r="X56" s="480"/>
      <c r="Y56" s="480"/>
      <c r="Z56" s="480"/>
      <c r="AA56" s="575"/>
      <c r="AB56" s="575"/>
      <c r="AC56" s="27"/>
      <c r="AD56" s="27"/>
      <c r="AE56" s="20">
        <f t="shared" si="43"/>
        <v>-108.74999999999636</v>
      </c>
      <c r="AF56" s="479">
        <f t="shared" si="9"/>
        <v>0.96375000000000122</v>
      </c>
      <c r="AG56" s="573"/>
    </row>
    <row r="57" spans="1:33" ht="15.75" customHeight="1">
      <c r="A57" s="580" t="s">
        <v>3035</v>
      </c>
      <c r="B57" s="486" t="s">
        <v>104</v>
      </c>
      <c r="C57" s="574" t="s">
        <v>117</v>
      </c>
      <c r="D57" s="574"/>
      <c r="E57" s="39">
        <v>26.78</v>
      </c>
      <c r="F57" s="45">
        <v>2033</v>
      </c>
      <c r="G57" s="480">
        <f t="shared" si="40"/>
        <v>54443.740000000005</v>
      </c>
      <c r="H57" s="48" t="s">
        <v>126</v>
      </c>
      <c r="I57" s="484">
        <v>10</v>
      </c>
      <c r="J57" s="43">
        <v>3000</v>
      </c>
      <c r="K57" s="18">
        <f t="shared" si="1"/>
        <v>300</v>
      </c>
      <c r="L57" s="484">
        <v>10</v>
      </c>
      <c r="M57" s="19">
        <f t="shared" si="41"/>
        <v>2904.2857142857133</v>
      </c>
      <c r="N57" s="18">
        <f t="shared" si="3"/>
        <v>290.42857142857133</v>
      </c>
      <c r="O57" s="20">
        <f t="shared" si="4"/>
        <v>0</v>
      </c>
      <c r="P57" s="21">
        <f t="shared" si="5"/>
        <v>-9.5714285714286689</v>
      </c>
      <c r="Q57" s="479">
        <f t="shared" si="6"/>
        <v>0.96809523809523779</v>
      </c>
      <c r="R57" s="573"/>
      <c r="S57" s="49">
        <v>0.25763888888888886</v>
      </c>
      <c r="T57" s="49">
        <v>0.28680555555555554</v>
      </c>
      <c r="U57" s="480">
        <f t="shared" si="44"/>
        <v>7.9999999999999716</v>
      </c>
      <c r="V57" s="485">
        <f t="shared" si="42"/>
        <v>42.000000000000014</v>
      </c>
      <c r="W57" s="480"/>
      <c r="X57" s="480"/>
      <c r="Y57" s="480"/>
      <c r="Z57" s="480"/>
      <c r="AA57" s="575"/>
      <c r="AB57" s="575"/>
      <c r="AC57" s="27"/>
      <c r="AD57" s="27"/>
      <c r="AE57" s="20">
        <f t="shared" si="43"/>
        <v>-95.714285714286689</v>
      </c>
      <c r="AF57" s="479">
        <f t="shared" si="9"/>
        <v>0.96809523809523779</v>
      </c>
      <c r="AG57" s="573"/>
    </row>
    <row r="58" spans="1:33" ht="15.75" customHeight="1">
      <c r="A58" s="580" t="s">
        <v>3035</v>
      </c>
      <c r="B58" s="486" t="s">
        <v>104</v>
      </c>
      <c r="C58" s="574" t="s">
        <v>119</v>
      </c>
      <c r="D58" s="574"/>
      <c r="E58" s="39">
        <v>35.869999999999997</v>
      </c>
      <c r="F58" s="45">
        <v>3269</v>
      </c>
      <c r="G58" s="480">
        <f t="shared" si="40"/>
        <v>117259.03</v>
      </c>
      <c r="H58" s="48" t="s">
        <v>126</v>
      </c>
      <c r="I58" s="484">
        <v>9</v>
      </c>
      <c r="J58" s="43">
        <v>3000</v>
      </c>
      <c r="K58" s="18">
        <f t="shared" si="1"/>
        <v>333.33333333333331</v>
      </c>
      <c r="L58" s="484">
        <v>9</v>
      </c>
      <c r="M58" s="19">
        <f t="shared" si="41"/>
        <v>2884.411764705882</v>
      </c>
      <c r="N58" s="18">
        <f t="shared" si="3"/>
        <v>320.49019607843132</v>
      </c>
      <c r="O58" s="20">
        <f t="shared" si="4"/>
        <v>0</v>
      </c>
      <c r="P58" s="21">
        <f t="shared" si="5"/>
        <v>-12.84313725490199</v>
      </c>
      <c r="Q58" s="479">
        <f t="shared" si="6"/>
        <v>0.96147058823529408</v>
      </c>
      <c r="R58" s="573"/>
      <c r="S58" s="49">
        <v>0.29166666666666663</v>
      </c>
      <c r="T58" s="49">
        <v>0.33888888888888885</v>
      </c>
      <c r="U58" s="480">
        <f t="shared" si="44"/>
        <v>6.9999999999999751</v>
      </c>
      <c r="V58" s="485">
        <f t="shared" si="42"/>
        <v>68</v>
      </c>
      <c r="W58" s="480"/>
      <c r="X58" s="480"/>
      <c r="Y58" s="480"/>
      <c r="Z58" s="480"/>
      <c r="AA58" s="575"/>
      <c r="AB58" s="575"/>
      <c r="AC58" s="27"/>
      <c r="AD58" s="27"/>
      <c r="AE58" s="20">
        <f t="shared" si="43"/>
        <v>-115.58823529411802</v>
      </c>
      <c r="AF58" s="479">
        <f t="shared" si="9"/>
        <v>0.96147058823529397</v>
      </c>
      <c r="AG58" s="573"/>
    </row>
    <row r="59" spans="1:33">
      <c r="A59" s="581" t="s">
        <v>3035</v>
      </c>
      <c r="B59" s="486" t="s">
        <v>104</v>
      </c>
      <c r="C59" s="574" t="s">
        <v>120</v>
      </c>
      <c r="D59" s="574"/>
      <c r="E59" s="39">
        <v>34.35</v>
      </c>
      <c r="F59" s="45">
        <v>1627</v>
      </c>
      <c r="G59" s="480">
        <f t="shared" si="40"/>
        <v>55887.450000000004</v>
      </c>
      <c r="H59" s="48" t="s">
        <v>126</v>
      </c>
      <c r="I59" s="484">
        <v>8</v>
      </c>
      <c r="J59" s="43">
        <v>3000</v>
      </c>
      <c r="K59" s="18">
        <f t="shared" si="1"/>
        <v>375</v>
      </c>
      <c r="L59" s="484">
        <v>8</v>
      </c>
      <c r="M59" s="19">
        <f t="shared" si="41"/>
        <v>2871.1764705882392</v>
      </c>
      <c r="N59" s="18">
        <f t="shared" si="3"/>
        <v>358.8970588235299</v>
      </c>
      <c r="O59" s="20">
        <f t="shared" si="4"/>
        <v>0</v>
      </c>
      <c r="P59" s="21">
        <f t="shared" si="5"/>
        <v>-16.102941176470097</v>
      </c>
      <c r="Q59" s="479">
        <f t="shared" si="6"/>
        <v>0.95705882352941307</v>
      </c>
      <c r="R59" s="573"/>
      <c r="S59" s="49">
        <v>0.34236111111111106</v>
      </c>
      <c r="T59" s="49">
        <v>0.36597222222222214</v>
      </c>
      <c r="U59" s="480">
        <f t="shared" si="44"/>
        <v>4.9999999999999822</v>
      </c>
      <c r="V59" s="485">
        <f t="shared" si="42"/>
        <v>33.999999999999957</v>
      </c>
      <c r="W59" s="25"/>
      <c r="X59" s="25"/>
      <c r="Y59" s="25"/>
      <c r="Z59" s="25"/>
      <c r="AA59" s="575"/>
      <c r="AB59" s="575"/>
      <c r="AC59" s="27"/>
      <c r="AD59" s="27"/>
      <c r="AE59" s="20">
        <f t="shared" si="43"/>
        <v>-128.82352941176077</v>
      </c>
      <c r="AF59" s="479">
        <f t="shared" si="9"/>
        <v>0.95705882352941307</v>
      </c>
      <c r="AG59" s="573"/>
    </row>
    <row r="60" spans="1:33">
      <c r="A60" s="581" t="s">
        <v>3035</v>
      </c>
      <c r="B60" s="39" t="s">
        <v>3027</v>
      </c>
      <c r="C60" s="576"/>
      <c r="D60" s="576"/>
      <c r="E60" s="481"/>
      <c r="F60" s="42"/>
      <c r="G60" s="18"/>
      <c r="H60" s="486"/>
      <c r="I60" s="32">
        <v>9.4</v>
      </c>
      <c r="J60" s="43">
        <v>3000</v>
      </c>
      <c r="K60" s="18">
        <f t="shared" si="1"/>
        <v>319.14893617021278</v>
      </c>
      <c r="L60" s="32">
        <v>9.4</v>
      </c>
      <c r="M60" s="19">
        <f>AVERAGE(M55:M59)</f>
        <v>2894.2247899159684</v>
      </c>
      <c r="N60" s="18">
        <f t="shared" si="3"/>
        <v>307.89625424637961</v>
      </c>
      <c r="O60" s="20">
        <f t="shared" si="4"/>
        <v>0</v>
      </c>
      <c r="P60" s="21">
        <f t="shared" si="5"/>
        <v>-11.252681923833165</v>
      </c>
      <c r="Q60" s="479">
        <f t="shared" si="6"/>
        <v>0.96474159663865611</v>
      </c>
      <c r="R60" s="573"/>
      <c r="S60" s="49"/>
      <c r="T60" s="49"/>
      <c r="U60" s="18"/>
      <c r="V60" s="485"/>
      <c r="W60" s="18"/>
      <c r="X60" s="18"/>
      <c r="Y60" s="33">
        <f>SUM(Y55:Y59)</f>
        <v>0</v>
      </c>
      <c r="Z60" s="33">
        <f>SUM(Z55:Z59)</f>
        <v>0</v>
      </c>
      <c r="AA60" s="572"/>
      <c r="AB60" s="572"/>
      <c r="AC60" s="33">
        <v>5</v>
      </c>
      <c r="AD60" s="33">
        <f>SUM(AD55:AD59)</f>
        <v>0</v>
      </c>
      <c r="AE60" s="20">
        <f t="shared" si="43"/>
        <v>-105.77521008403164</v>
      </c>
      <c r="AF60" s="479">
        <f t="shared" si="9"/>
        <v>0.96474159663865611</v>
      </c>
      <c r="AG60" s="573"/>
    </row>
    <row r="61" spans="1:33" ht="15.75" customHeight="1">
      <c r="A61" s="577" t="s">
        <v>3036</v>
      </c>
      <c r="B61" s="486" t="s">
        <v>94</v>
      </c>
      <c r="C61" s="574" t="s">
        <v>124</v>
      </c>
      <c r="D61" s="574"/>
      <c r="E61" s="39">
        <v>22.69</v>
      </c>
      <c r="F61" s="486">
        <v>3324</v>
      </c>
      <c r="G61" s="480">
        <f t="shared" ref="G61:G66" si="45">E61*F61</f>
        <v>75421.56</v>
      </c>
      <c r="H61" s="48" t="s">
        <v>126</v>
      </c>
      <c r="I61" s="484">
        <v>15</v>
      </c>
      <c r="J61" s="43">
        <v>2400</v>
      </c>
      <c r="K61" s="18">
        <f t="shared" si="1"/>
        <v>160</v>
      </c>
      <c r="L61" s="484">
        <v>15</v>
      </c>
      <c r="M61" s="19">
        <f t="shared" ref="M61:M66" si="46">F61/V61*60</f>
        <v>2292.4137931034484</v>
      </c>
      <c r="N61" s="18">
        <f t="shared" si="3"/>
        <v>152.82758620689657</v>
      </c>
      <c r="O61" s="20">
        <f t="shared" si="4"/>
        <v>0</v>
      </c>
      <c r="P61" s="21">
        <f t="shared" si="5"/>
        <v>-7.1724137931034306</v>
      </c>
      <c r="Q61" s="479">
        <f t="shared" si="6"/>
        <v>0.95517241379310358</v>
      </c>
      <c r="R61" s="573">
        <f>Q67</f>
        <v>0.95472981192009509</v>
      </c>
      <c r="S61" s="49">
        <v>8.3333333333333329E-2</v>
      </c>
      <c r="T61" s="49">
        <v>0.14374999999999999</v>
      </c>
      <c r="U61" s="30"/>
      <c r="V61" s="485">
        <f t="shared" ref="V61:V66" si="47">(T61-S61)*24*60</f>
        <v>86.999999999999986</v>
      </c>
      <c r="W61" s="25">
        <f>T61</f>
        <v>0.14374999999999999</v>
      </c>
      <c r="X61" s="25">
        <f>S62</f>
        <v>0.16249999999999998</v>
      </c>
      <c r="Y61" s="25"/>
      <c r="Z61" s="25"/>
      <c r="AA61" s="575"/>
      <c r="AB61" s="575"/>
      <c r="AC61" s="27">
        <v>6</v>
      </c>
      <c r="AD61" s="27"/>
      <c r="AE61" s="20">
        <f t="shared" si="43"/>
        <v>-107.58620689655163</v>
      </c>
      <c r="AF61" s="479">
        <f t="shared" si="9"/>
        <v>0.95517241379310347</v>
      </c>
      <c r="AG61" s="573">
        <f>AF67</f>
        <v>0.95472981192009509</v>
      </c>
    </row>
    <row r="62" spans="1:33" ht="15.75" customHeight="1">
      <c r="A62" s="578" t="s">
        <v>3036</v>
      </c>
      <c r="B62" s="486" t="s">
        <v>94</v>
      </c>
      <c r="C62" s="574" t="s">
        <v>125</v>
      </c>
      <c r="D62" s="574"/>
      <c r="E62" s="39">
        <v>19.02</v>
      </c>
      <c r="F62" s="486">
        <v>5000</v>
      </c>
      <c r="G62" s="480">
        <f t="shared" si="45"/>
        <v>95100</v>
      </c>
      <c r="H62" s="48">
        <v>2</v>
      </c>
      <c r="I62" s="484">
        <v>14</v>
      </c>
      <c r="J62" s="43">
        <v>2400</v>
      </c>
      <c r="K62" s="18">
        <f t="shared" si="1"/>
        <v>171.42857142857142</v>
      </c>
      <c r="L62" s="484">
        <v>14</v>
      </c>
      <c r="M62" s="19">
        <f t="shared" si="46"/>
        <v>2290.0763358778627</v>
      </c>
      <c r="N62" s="18">
        <f t="shared" si="3"/>
        <v>163.57688113413306</v>
      </c>
      <c r="O62" s="20">
        <f t="shared" si="4"/>
        <v>0</v>
      </c>
      <c r="P62" s="21">
        <f t="shared" si="5"/>
        <v>-7.851690294438356</v>
      </c>
      <c r="Q62" s="479">
        <f t="shared" si="6"/>
        <v>0.95419847328244289</v>
      </c>
      <c r="R62" s="573"/>
      <c r="S62" s="49">
        <v>0.16249999999999998</v>
      </c>
      <c r="T62" s="49">
        <v>0.25347222222222221</v>
      </c>
      <c r="U62" s="480">
        <f t="shared" ref="U62:U66" si="48">(S62-T61)*24*60</f>
        <v>26.999999999999986</v>
      </c>
      <c r="V62" s="485">
        <f t="shared" si="47"/>
        <v>131</v>
      </c>
      <c r="W62" s="25"/>
      <c r="X62" s="25"/>
      <c r="Y62" s="25"/>
      <c r="Z62" s="25"/>
      <c r="AA62" s="575"/>
      <c r="AB62" s="575"/>
      <c r="AC62" s="27"/>
      <c r="AD62" s="27"/>
      <c r="AE62" s="20">
        <f t="shared" si="43"/>
        <v>-109.92366412213732</v>
      </c>
      <c r="AF62" s="479">
        <f t="shared" si="9"/>
        <v>0.95419847328244278</v>
      </c>
      <c r="AG62" s="573"/>
    </row>
    <row r="63" spans="1:33" ht="15.75" customHeight="1">
      <c r="A63" s="578" t="s">
        <v>3036</v>
      </c>
      <c r="B63" s="486" t="s">
        <v>94</v>
      </c>
      <c r="C63" s="574" t="s">
        <v>99</v>
      </c>
      <c r="D63" s="574"/>
      <c r="E63" s="39">
        <v>20.36</v>
      </c>
      <c r="F63" s="486">
        <v>4226</v>
      </c>
      <c r="G63" s="480">
        <f t="shared" si="45"/>
        <v>86041.36</v>
      </c>
      <c r="H63" s="48" t="s">
        <v>126</v>
      </c>
      <c r="I63" s="484">
        <v>17</v>
      </c>
      <c r="J63" s="43">
        <v>2400</v>
      </c>
      <c r="K63" s="18">
        <f t="shared" si="1"/>
        <v>141.1764705882353</v>
      </c>
      <c r="L63" s="484">
        <v>17</v>
      </c>
      <c r="M63" s="19">
        <f t="shared" si="46"/>
        <v>2284.3243243243246</v>
      </c>
      <c r="N63" s="18">
        <f t="shared" si="3"/>
        <v>134.37201907790146</v>
      </c>
      <c r="O63" s="20">
        <f t="shared" si="4"/>
        <v>0</v>
      </c>
      <c r="P63" s="21">
        <f t="shared" si="5"/>
        <v>-6.8044515103338483</v>
      </c>
      <c r="Q63" s="479">
        <f t="shared" si="6"/>
        <v>0.95180180180180196</v>
      </c>
      <c r="R63" s="573"/>
      <c r="S63" s="49">
        <v>0.25763888888888886</v>
      </c>
      <c r="T63" s="49">
        <v>0.3347222222222222</v>
      </c>
      <c r="U63" s="480">
        <f t="shared" si="48"/>
        <v>5.9999999999999787</v>
      </c>
      <c r="V63" s="485">
        <f t="shared" si="47"/>
        <v>111</v>
      </c>
      <c r="W63" s="25"/>
      <c r="X63" s="25"/>
      <c r="Y63" s="25"/>
      <c r="Z63" s="25"/>
      <c r="AA63" s="575"/>
      <c r="AB63" s="575"/>
      <c r="AC63" s="27"/>
      <c r="AD63" s="27"/>
      <c r="AE63" s="20">
        <f t="shared" si="43"/>
        <v>-115.67567567567539</v>
      </c>
      <c r="AF63" s="479">
        <f t="shared" si="9"/>
        <v>0.95180180180180196</v>
      </c>
      <c r="AG63" s="573"/>
    </row>
    <row r="64" spans="1:33" ht="15.75" customHeight="1">
      <c r="A64" s="578" t="s">
        <v>3036</v>
      </c>
      <c r="B64" s="486" t="s">
        <v>94</v>
      </c>
      <c r="C64" s="574" t="s">
        <v>123</v>
      </c>
      <c r="D64" s="574"/>
      <c r="E64" s="39">
        <v>20.21</v>
      </c>
      <c r="F64" s="486">
        <v>2857</v>
      </c>
      <c r="G64" s="480">
        <f t="shared" si="45"/>
        <v>57739.97</v>
      </c>
      <c r="H64" s="48" t="s">
        <v>126</v>
      </c>
      <c r="I64" s="484">
        <v>15</v>
      </c>
      <c r="J64" s="43">
        <v>2400</v>
      </c>
      <c r="K64" s="18">
        <f t="shared" si="1"/>
        <v>160</v>
      </c>
      <c r="L64" s="484">
        <v>15</v>
      </c>
      <c r="M64" s="19">
        <f t="shared" si="46"/>
        <v>2285.6000000000008</v>
      </c>
      <c r="N64" s="18">
        <f t="shared" si="3"/>
        <v>152.37333333333339</v>
      </c>
      <c r="O64" s="20">
        <f t="shared" si="4"/>
        <v>0</v>
      </c>
      <c r="P64" s="21">
        <f t="shared" si="5"/>
        <v>-7.6266666666666083</v>
      </c>
      <c r="Q64" s="479">
        <f t="shared" si="6"/>
        <v>0.9523333333333337</v>
      </c>
      <c r="R64" s="573"/>
      <c r="S64" s="49">
        <v>0.34027777777777773</v>
      </c>
      <c r="T64" s="49">
        <v>0.39236111111111105</v>
      </c>
      <c r="U64" s="480">
        <f t="shared" si="48"/>
        <v>7.9999999999999716</v>
      </c>
      <c r="V64" s="485">
        <f t="shared" si="47"/>
        <v>74.999999999999972</v>
      </c>
      <c r="W64" s="25"/>
      <c r="X64" s="25"/>
      <c r="Y64" s="25"/>
      <c r="Z64" s="25"/>
      <c r="AA64" s="575"/>
      <c r="AB64" s="575"/>
      <c r="AC64" s="27"/>
      <c r="AD64" s="27"/>
      <c r="AE64" s="20">
        <f t="shared" si="43"/>
        <v>-114.39999999999918</v>
      </c>
      <c r="AF64" s="479">
        <f t="shared" si="9"/>
        <v>0.9523333333333337</v>
      </c>
      <c r="AG64" s="573"/>
    </row>
    <row r="65" spans="1:33" ht="15.75" customHeight="1">
      <c r="A65" s="578" t="s">
        <v>3036</v>
      </c>
      <c r="B65" s="486" t="s">
        <v>94</v>
      </c>
      <c r="C65" s="574" t="s">
        <v>1954</v>
      </c>
      <c r="D65" s="574"/>
      <c r="E65" s="39">
        <v>20.21</v>
      </c>
      <c r="F65" s="486">
        <v>4720</v>
      </c>
      <c r="G65" s="480">
        <f t="shared" si="45"/>
        <v>95391.2</v>
      </c>
      <c r="H65" s="48" t="s">
        <v>126</v>
      </c>
      <c r="I65" s="484">
        <v>18</v>
      </c>
      <c r="J65" s="43">
        <v>2400</v>
      </c>
      <c r="K65" s="18">
        <f t="shared" si="1"/>
        <v>133.33333333333334</v>
      </c>
      <c r="L65" s="484">
        <v>18</v>
      </c>
      <c r="M65" s="19">
        <f t="shared" si="46"/>
        <v>2302.4390243902449</v>
      </c>
      <c r="N65" s="18">
        <f t="shared" si="3"/>
        <v>127.91327913279139</v>
      </c>
      <c r="O65" s="20">
        <f t="shared" si="4"/>
        <v>0</v>
      </c>
      <c r="P65" s="21">
        <f t="shared" si="5"/>
        <v>-5.420054200541955</v>
      </c>
      <c r="Q65" s="479">
        <f t="shared" si="6"/>
        <v>0.95934959349593529</v>
      </c>
      <c r="R65" s="573"/>
      <c r="S65" s="49">
        <v>0.3965277777777777</v>
      </c>
      <c r="T65" s="49">
        <v>0.48194444444444434</v>
      </c>
      <c r="U65" s="480">
        <f t="shared" si="48"/>
        <v>5.9999999999999787</v>
      </c>
      <c r="V65" s="485">
        <f t="shared" si="47"/>
        <v>122.99999999999996</v>
      </c>
      <c r="W65" s="25">
        <f>T65</f>
        <v>0.48194444444444434</v>
      </c>
      <c r="X65" s="25">
        <f>S66</f>
        <v>0.5215277777777777</v>
      </c>
      <c r="Y65" s="25"/>
      <c r="Z65" s="25"/>
      <c r="AA65" s="575"/>
      <c r="AB65" s="575"/>
      <c r="AC65" s="27"/>
      <c r="AD65" s="27"/>
      <c r="AE65" s="20">
        <f t="shared" si="43"/>
        <v>-97.560975609755133</v>
      </c>
      <c r="AF65" s="479">
        <f t="shared" si="9"/>
        <v>0.9593495934959354</v>
      </c>
      <c r="AG65" s="573"/>
    </row>
    <row r="66" spans="1:33" ht="15.75" customHeight="1">
      <c r="A66" s="578" t="s">
        <v>3036</v>
      </c>
      <c r="B66" s="486" t="s">
        <v>94</v>
      </c>
      <c r="C66" s="574" t="s">
        <v>125</v>
      </c>
      <c r="D66" s="574"/>
      <c r="E66" s="39">
        <v>19.02</v>
      </c>
      <c r="F66" s="486">
        <v>3287</v>
      </c>
      <c r="G66" s="480">
        <f t="shared" si="45"/>
        <v>62518.74</v>
      </c>
      <c r="H66" s="48" t="s">
        <v>126</v>
      </c>
      <c r="I66" s="484">
        <v>14</v>
      </c>
      <c r="J66" s="43">
        <v>2400</v>
      </c>
      <c r="K66" s="18">
        <f t="shared" si="1"/>
        <v>171.42857142857142</v>
      </c>
      <c r="L66" s="484">
        <v>14</v>
      </c>
      <c r="M66" s="19">
        <f t="shared" si="46"/>
        <v>2293.2558139534881</v>
      </c>
      <c r="N66" s="18">
        <f t="shared" si="3"/>
        <v>163.80398671096344</v>
      </c>
      <c r="O66" s="20">
        <f t="shared" si="4"/>
        <v>0</v>
      </c>
      <c r="P66" s="21">
        <f t="shared" si="5"/>
        <v>-7.6245847176079735</v>
      </c>
      <c r="Q66" s="479">
        <f t="shared" si="6"/>
        <v>0.95552325581395348</v>
      </c>
      <c r="R66" s="573"/>
      <c r="S66" s="49">
        <v>0.5215277777777777</v>
      </c>
      <c r="T66" s="49">
        <v>0.58124999999999993</v>
      </c>
      <c r="U66" s="480">
        <f t="shared" si="48"/>
        <v>57.000000000000036</v>
      </c>
      <c r="V66" s="485">
        <f t="shared" si="47"/>
        <v>86.000000000000014</v>
      </c>
      <c r="W66" s="25"/>
      <c r="X66" s="25"/>
      <c r="Y66" s="25"/>
      <c r="Z66" s="25"/>
      <c r="AA66" s="575"/>
      <c r="AB66" s="575"/>
      <c r="AC66" s="27"/>
      <c r="AD66" s="27"/>
      <c r="AE66" s="20">
        <f t="shared" si="43"/>
        <v>-106.74418604651191</v>
      </c>
      <c r="AF66" s="479">
        <f t="shared" si="9"/>
        <v>0.95552325581395336</v>
      </c>
      <c r="AG66" s="573"/>
    </row>
    <row r="67" spans="1:33" ht="16.5" customHeight="1">
      <c r="A67" s="579" t="s">
        <v>3036</v>
      </c>
      <c r="B67" s="39" t="s">
        <v>3027</v>
      </c>
      <c r="C67" s="570"/>
      <c r="D67" s="571"/>
      <c r="E67" s="481"/>
      <c r="F67" s="42"/>
      <c r="G67" s="18"/>
      <c r="H67" s="486"/>
      <c r="I67" s="32">
        <v>15.5</v>
      </c>
      <c r="J67" s="43">
        <v>2400</v>
      </c>
      <c r="K67" s="18">
        <f t="shared" si="1"/>
        <v>154.83870967741936</v>
      </c>
      <c r="L67" s="32">
        <v>15.5</v>
      </c>
      <c r="M67" s="19">
        <f>AVERAGE(M61:M66)</f>
        <v>2291.3515486082283</v>
      </c>
      <c r="N67" s="18">
        <f t="shared" si="3"/>
        <v>147.82913216827279</v>
      </c>
      <c r="O67" s="20">
        <f t="shared" si="4"/>
        <v>0</v>
      </c>
      <c r="P67" s="21">
        <f t="shared" si="5"/>
        <v>-7.0095775091465669</v>
      </c>
      <c r="Q67" s="479">
        <f t="shared" si="6"/>
        <v>0.95472981192009509</v>
      </c>
      <c r="R67" s="573"/>
      <c r="S67" s="49"/>
      <c r="T67" s="49"/>
      <c r="U67" s="18"/>
      <c r="V67" s="485"/>
      <c r="W67" s="18"/>
      <c r="X67" s="18"/>
      <c r="Y67" s="33">
        <f>SUM(Y61:Y66)</f>
        <v>0</v>
      </c>
      <c r="Z67" s="33">
        <f>SUM(Z61:Z66)</f>
        <v>0</v>
      </c>
      <c r="AA67" s="572"/>
      <c r="AB67" s="572"/>
      <c r="AC67" s="33">
        <v>6</v>
      </c>
      <c r="AD67" s="33">
        <f>SUM(AD61:AD66)</f>
        <v>0</v>
      </c>
      <c r="AE67" s="20">
        <f t="shared" si="43"/>
        <v>-108.64845139177169</v>
      </c>
      <c r="AF67" s="479">
        <f t="shared" si="9"/>
        <v>0.95472981192009509</v>
      </c>
      <c r="AG67" s="573"/>
    </row>
    <row r="68" spans="1:33">
      <c r="D68" s="35"/>
      <c r="E68" s="35"/>
    </row>
  </sheetData>
  <mergeCells count="187">
    <mergeCell ref="AG61:AG67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1:A67"/>
    <mergeCell ref="C61:D61"/>
    <mergeCell ref="R61:R67"/>
    <mergeCell ref="AA61:AB61"/>
    <mergeCell ref="AA66:AB66"/>
    <mergeCell ref="A55:A60"/>
    <mergeCell ref="C55:D55"/>
    <mergeCell ref="R55:R60"/>
    <mergeCell ref="AA55:AB55"/>
    <mergeCell ref="C67:D67"/>
    <mergeCell ref="AA67:AB67"/>
    <mergeCell ref="AG55:AG60"/>
    <mergeCell ref="C56:D56"/>
    <mergeCell ref="AA56:AB56"/>
    <mergeCell ref="C57:D57"/>
    <mergeCell ref="AA57:AB57"/>
    <mergeCell ref="C58:D58"/>
    <mergeCell ref="AA51:AB51"/>
    <mergeCell ref="C52:D52"/>
    <mergeCell ref="AA52:AB52"/>
    <mergeCell ref="C53:D53"/>
    <mergeCell ref="AA53:AB53"/>
    <mergeCell ref="C54:D54"/>
    <mergeCell ref="AA54:AB54"/>
    <mergeCell ref="AA58:AB58"/>
    <mergeCell ref="C59:D59"/>
    <mergeCell ref="AA59:AB59"/>
    <mergeCell ref="C60:D60"/>
    <mergeCell ref="AA60:AB60"/>
    <mergeCell ref="A47:A54"/>
    <mergeCell ref="C47:D47"/>
    <mergeCell ref="R47:R54"/>
    <mergeCell ref="AA47:AB47"/>
    <mergeCell ref="AG47:AG54"/>
    <mergeCell ref="C48:D48"/>
    <mergeCell ref="AA48:AB48"/>
    <mergeCell ref="C49:D49"/>
    <mergeCell ref="AA49:AB49"/>
    <mergeCell ref="AA50:AB50"/>
    <mergeCell ref="AG42:AG46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AA41:AB41"/>
    <mergeCell ref="A42:A46"/>
    <mergeCell ref="C42:D42"/>
    <mergeCell ref="R42:R46"/>
    <mergeCell ref="AA42:AB42"/>
    <mergeCell ref="AA37:AB37"/>
    <mergeCell ref="C38:D38"/>
    <mergeCell ref="AA38:AB38"/>
    <mergeCell ref="C39:D39"/>
    <mergeCell ref="AA39:AB39"/>
    <mergeCell ref="C40:D40"/>
    <mergeCell ref="AA40:AB40"/>
    <mergeCell ref="A34:A41"/>
    <mergeCell ref="C34:D34"/>
    <mergeCell ref="R34:R41"/>
    <mergeCell ref="AA34:AB34"/>
    <mergeCell ref="A27:A33"/>
    <mergeCell ref="C27:D27"/>
    <mergeCell ref="R27:R33"/>
    <mergeCell ref="AA27:AB27"/>
    <mergeCell ref="AA32:AB32"/>
    <mergeCell ref="C33:D33"/>
    <mergeCell ref="AA33:AB33"/>
    <mergeCell ref="AG34:AG41"/>
    <mergeCell ref="C35:D35"/>
    <mergeCell ref="AA35:AB35"/>
    <mergeCell ref="C36:D36"/>
    <mergeCell ref="AA36:AB36"/>
    <mergeCell ref="C37:D37"/>
    <mergeCell ref="AG27:AG33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C41:D41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A20:A26"/>
    <mergeCell ref="C20:D20"/>
    <mergeCell ref="R20:R26"/>
    <mergeCell ref="AA20:AB20"/>
    <mergeCell ref="AA25:AB25"/>
    <mergeCell ref="A14:A19"/>
    <mergeCell ref="C14:D14"/>
    <mergeCell ref="R14:R19"/>
    <mergeCell ref="AA14:AB14"/>
    <mergeCell ref="AG14:AG19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19:D19"/>
    <mergeCell ref="AA19:AB19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4:O55 O58:O67 O5:O9 O13:O15 O19:O52">
    <cfRule type="cellIs" dxfId="1681" priority="41" operator="greaterThan">
      <formula>0</formula>
    </cfRule>
  </conditionalFormatting>
  <conditionalFormatting sqref="P5:P7 P58:P59 AE58:AE59 P61:P66 P27:P32 P55 P9 P13:P15 P20:P25 P47:P52 P34:P45 AE5:AE55 AE61:AE67">
    <cfRule type="cellIs" dxfId="1680" priority="45" operator="lessThan">
      <formula>0</formula>
    </cfRule>
  </conditionalFormatting>
  <conditionalFormatting sqref="AF58:AF59 Q54:Q55 Q58:Q67 Q5:Q9 Q13:Q15 Q19:Q52 AF5:AF55 AF61:AF67">
    <cfRule type="cellIs" dxfId="1679" priority="42" operator="greaterThan">
      <formula>1</formula>
    </cfRule>
    <cfRule type="cellIs" dxfId="1678" priority="43" operator="lessThan">
      <formula>0.8</formula>
    </cfRule>
  </conditionalFormatting>
  <conditionalFormatting sqref="AG14:AG15 R14:R15 AG58 AG54:AG55 R54:R55 R58:R67 AG5:AG9 R5:R9 AG19:AG52 R19:R52">
    <cfRule type="cellIs" dxfId="1677" priority="47" operator="lessThan">
      <formula>0.8</formula>
    </cfRule>
  </conditionalFormatting>
  <conditionalFormatting sqref="AG42">
    <cfRule type="cellIs" dxfId="1676" priority="49" operator="lessThan">
      <formula>0.8</formula>
    </cfRule>
  </conditionalFormatting>
  <conditionalFormatting sqref="AG20:AG25">
    <cfRule type="cellIs" dxfId="1675" priority="46" operator="lessThan">
      <formula>0.8</formula>
    </cfRule>
  </conditionalFormatting>
  <conditionalFormatting sqref="AG27">
    <cfRule type="cellIs" dxfId="1674" priority="48" operator="lessThan">
      <formula>0.8</formula>
    </cfRule>
  </conditionalFormatting>
  <conditionalFormatting sqref="AG34:AG40">
    <cfRule type="cellIs" dxfId="1673" priority="44" operator="lessThan">
      <formula>0.8</formula>
    </cfRule>
  </conditionalFormatting>
  <conditionalFormatting sqref="AE60">
    <cfRule type="cellIs" dxfId="1672" priority="40" operator="lessThan">
      <formula>0</formula>
    </cfRule>
  </conditionalFormatting>
  <conditionalFormatting sqref="AF60">
    <cfRule type="cellIs" dxfId="1671" priority="38" operator="greaterThan">
      <formula>1</formula>
    </cfRule>
    <cfRule type="cellIs" dxfId="1670" priority="39" operator="lessThan">
      <formula>0.8</formula>
    </cfRule>
  </conditionalFormatting>
  <conditionalFormatting sqref="O16:O17">
    <cfRule type="cellIs" dxfId="1669" priority="33" operator="greaterThan">
      <formula>0</formula>
    </cfRule>
  </conditionalFormatting>
  <conditionalFormatting sqref="P16:P17">
    <cfRule type="cellIs" dxfId="1668" priority="36" operator="lessThan">
      <formula>0</formula>
    </cfRule>
  </conditionalFormatting>
  <conditionalFormatting sqref="Q16:Q17">
    <cfRule type="cellIs" dxfId="1667" priority="34" operator="greaterThan">
      <formula>1</formula>
    </cfRule>
    <cfRule type="cellIs" dxfId="1666" priority="35" operator="lessThan">
      <formula>0.8</formula>
    </cfRule>
  </conditionalFormatting>
  <conditionalFormatting sqref="R16:R17 AG16:AG17">
    <cfRule type="cellIs" dxfId="1665" priority="37" operator="lessThan">
      <formula>0.8</formula>
    </cfRule>
  </conditionalFormatting>
  <conditionalFormatting sqref="O10:O12">
    <cfRule type="cellIs" dxfId="1664" priority="29" operator="greaterThan">
      <formula>0</formula>
    </cfRule>
  </conditionalFormatting>
  <conditionalFormatting sqref="P10:P12">
    <cfRule type="cellIs" dxfId="1663" priority="32" operator="lessThan">
      <formula>0</formula>
    </cfRule>
  </conditionalFormatting>
  <conditionalFormatting sqref="Q10:Q12">
    <cfRule type="cellIs" dxfId="1662" priority="30" operator="greaterThan">
      <formula>1</formula>
    </cfRule>
    <cfRule type="cellIs" dxfId="1661" priority="31" operator="lessThan">
      <formula>0.8</formula>
    </cfRule>
  </conditionalFormatting>
  <conditionalFormatting sqref="O53">
    <cfRule type="cellIs" dxfId="1660" priority="24" operator="greaterThan">
      <formula>0</formula>
    </cfRule>
  </conditionalFormatting>
  <conditionalFormatting sqref="P53">
    <cfRule type="cellIs" dxfId="1659" priority="27" operator="lessThan">
      <formula>0</formula>
    </cfRule>
  </conditionalFormatting>
  <conditionalFormatting sqref="Q53">
    <cfRule type="cellIs" dxfId="1658" priority="25" operator="greaterThan">
      <formula>1</formula>
    </cfRule>
    <cfRule type="cellIs" dxfId="1657" priority="26" operator="lessThan">
      <formula>0.8</formula>
    </cfRule>
  </conditionalFormatting>
  <conditionalFormatting sqref="R53 AG53">
    <cfRule type="cellIs" dxfId="1656" priority="28" operator="lessThan">
      <formula>0.8</formula>
    </cfRule>
  </conditionalFormatting>
  <conditionalFormatting sqref="O57">
    <cfRule type="cellIs" dxfId="1655" priority="19" operator="greaterThan">
      <formula>0</formula>
    </cfRule>
  </conditionalFormatting>
  <conditionalFormatting sqref="P57 AE57">
    <cfRule type="cellIs" dxfId="1654" priority="22" operator="lessThan">
      <formula>0</formula>
    </cfRule>
  </conditionalFormatting>
  <conditionalFormatting sqref="Q57 AF57">
    <cfRule type="cellIs" dxfId="1653" priority="20" operator="greaterThan">
      <formula>1</formula>
    </cfRule>
    <cfRule type="cellIs" dxfId="1652" priority="21" operator="lessThan">
      <formula>0.8</formula>
    </cfRule>
  </conditionalFormatting>
  <conditionalFormatting sqref="R57 AG57">
    <cfRule type="cellIs" dxfId="1651" priority="23" operator="lessThan">
      <formula>0.8</formula>
    </cfRule>
  </conditionalFormatting>
  <conditionalFormatting sqref="O18">
    <cfRule type="cellIs" dxfId="1650" priority="14" operator="greaterThan">
      <formula>0</formula>
    </cfRule>
  </conditionalFormatting>
  <conditionalFormatting sqref="P18">
    <cfRule type="cellIs" dxfId="1649" priority="17" operator="lessThan">
      <formula>0</formula>
    </cfRule>
  </conditionalFormatting>
  <conditionalFormatting sqref="Q18">
    <cfRule type="cellIs" dxfId="1648" priority="15" operator="greaterThan">
      <formula>1</formula>
    </cfRule>
    <cfRule type="cellIs" dxfId="1647" priority="16" operator="lessThan">
      <formula>0.8</formula>
    </cfRule>
  </conditionalFormatting>
  <conditionalFormatting sqref="R18 AG18">
    <cfRule type="cellIs" dxfId="1646" priority="18" operator="lessThan">
      <formula>0.8</formula>
    </cfRule>
  </conditionalFormatting>
  <conditionalFormatting sqref="O56">
    <cfRule type="cellIs" dxfId="1645" priority="9" operator="greaterThan">
      <formula>0</formula>
    </cfRule>
  </conditionalFormatting>
  <conditionalFormatting sqref="P56 AE56">
    <cfRule type="cellIs" dxfId="1644" priority="12" operator="lessThan">
      <formula>0</formula>
    </cfRule>
  </conditionalFormatting>
  <conditionalFormatting sqref="Q56 AF56">
    <cfRule type="cellIs" dxfId="1643" priority="10" operator="greaterThan">
      <formula>1</formula>
    </cfRule>
    <cfRule type="cellIs" dxfId="1642" priority="11" operator="lessThan">
      <formula>0.8</formula>
    </cfRule>
  </conditionalFormatting>
  <conditionalFormatting sqref="R56 AG56">
    <cfRule type="cellIs" dxfId="1641" priority="13" operator="lessThan">
      <formula>0.8</formula>
    </cfRule>
  </conditionalFormatting>
  <conditionalFormatting sqref="P8">
    <cfRule type="cellIs" dxfId="1640" priority="8" operator="lessThan">
      <formula>0</formula>
    </cfRule>
  </conditionalFormatting>
  <conditionalFormatting sqref="P19">
    <cfRule type="cellIs" dxfId="1639" priority="7" operator="lessThan">
      <formula>0</formula>
    </cfRule>
  </conditionalFormatting>
  <conditionalFormatting sqref="P26">
    <cfRule type="cellIs" dxfId="1638" priority="6" operator="lessThan">
      <formula>0</formula>
    </cfRule>
  </conditionalFormatting>
  <conditionalFormatting sqref="P33">
    <cfRule type="cellIs" dxfId="1637" priority="5" operator="lessThan">
      <formula>0</formula>
    </cfRule>
  </conditionalFormatting>
  <conditionalFormatting sqref="P46">
    <cfRule type="cellIs" dxfId="1636" priority="4" operator="lessThan">
      <formula>0</formula>
    </cfRule>
  </conditionalFormatting>
  <conditionalFormatting sqref="P54">
    <cfRule type="cellIs" dxfId="1635" priority="3" operator="lessThan">
      <formula>0</formula>
    </cfRule>
  </conditionalFormatting>
  <conditionalFormatting sqref="P60">
    <cfRule type="cellIs" dxfId="1634" priority="2" operator="lessThan">
      <formula>0</formula>
    </cfRule>
  </conditionalFormatting>
  <conditionalFormatting sqref="P67">
    <cfRule type="cellIs" dxfId="1633" priority="1" operator="lessThan">
      <formula>0</formula>
    </cfRule>
  </conditionalFormatting>
  <dataValidations count="1">
    <dataValidation type="list" allowBlank="1" showInputMessage="1" showErrorMessage="1" sqref="AB8 AA5:AB7 AB59 AA8:AA59 AB10:AB55 AA60:AB6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R12" sqref="R12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2745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2746</v>
      </c>
      <c r="C3" s="555" t="str">
        <f>TEXT('0528 4度C'!A2,"yyyy.mm.ddaaaa")</f>
        <v>2026.05.28星期四</v>
      </c>
      <c r="D3" s="556"/>
      <c r="E3" s="54" t="s">
        <v>2747</v>
      </c>
      <c r="F3" s="557">
        <f>'0528 4度C'!D1</f>
        <v>167967</v>
      </c>
      <c r="G3" s="558"/>
      <c r="H3" s="54" t="s">
        <v>2748</v>
      </c>
      <c r="I3" s="559">
        <f>'0528 4度C'!F1</f>
        <v>5656119.6099999985</v>
      </c>
      <c r="J3" s="560"/>
      <c r="K3" s="55"/>
      <c r="L3" s="56"/>
      <c r="M3" s="57"/>
      <c r="N3" s="57"/>
    </row>
    <row r="4" spans="2:17" ht="28.5" customHeight="1">
      <c r="B4" s="561" t="s">
        <v>2749</v>
      </c>
      <c r="C4" s="547" t="s">
        <v>2750</v>
      </c>
      <c r="D4" s="548"/>
      <c r="E4" s="564" t="s">
        <v>2751</v>
      </c>
      <c r="F4" s="565"/>
      <c r="G4" s="564" t="s">
        <v>2752</v>
      </c>
      <c r="H4" s="565"/>
      <c r="I4" s="564" t="s">
        <v>2753</v>
      </c>
      <c r="J4" s="565"/>
      <c r="K4" s="545" t="s">
        <v>2754</v>
      </c>
      <c r="L4" s="546"/>
      <c r="M4" s="546" t="s">
        <v>2755</v>
      </c>
      <c r="N4" s="546"/>
    </row>
    <row r="5" spans="2:17" ht="28.5" customHeight="1">
      <c r="B5" s="562"/>
      <c r="C5" s="547" t="s">
        <v>2756</v>
      </c>
      <c r="D5" s="548"/>
      <c r="E5" s="547" t="s">
        <v>2757</v>
      </c>
      <c r="F5" s="548"/>
      <c r="G5" s="549" t="s">
        <v>2758</v>
      </c>
      <c r="H5" s="550"/>
      <c r="I5" s="551" t="s">
        <v>2759</v>
      </c>
      <c r="J5" s="552"/>
      <c r="K5" s="58" t="s">
        <v>2760</v>
      </c>
      <c r="L5" s="59" t="s">
        <v>2761</v>
      </c>
      <c r="M5" s="58" t="s">
        <v>2760</v>
      </c>
      <c r="N5" s="59" t="s">
        <v>2762</v>
      </c>
    </row>
    <row r="6" spans="2:17" ht="28.5" customHeight="1">
      <c r="B6" s="562"/>
      <c r="C6" s="547" t="s">
        <v>145</v>
      </c>
      <c r="D6" s="548"/>
      <c r="E6" s="539">
        <f>AVERAGE(D13:M13)</f>
        <v>154.10304703246979</v>
      </c>
      <c r="F6" s="540">
        <f>AVERAGE(D31:O31,D13:J13)</f>
        <v>160.6569822108338</v>
      </c>
      <c r="G6" s="541">
        <f>AVERAGE(D13:J13)</f>
        <v>160.6569822108338</v>
      </c>
      <c r="H6" s="542"/>
      <c r="I6" s="541">
        <f>AVERAGE(K13:M13)</f>
        <v>138.81053161628702</v>
      </c>
      <c r="J6" s="542"/>
      <c r="K6" s="543">
        <f>'0528 4度C'!Y2</f>
        <v>0</v>
      </c>
      <c r="L6" s="528">
        <f>'0528 4度C'!Z2</f>
        <v>0</v>
      </c>
      <c r="M6" s="544">
        <f>'0528 4度C'!AC2</f>
        <v>56</v>
      </c>
      <c r="N6" s="528">
        <f>'0528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147.51601693726076</v>
      </c>
      <c r="F7" s="532">
        <f>AVERAGE(D32:O32,D14:J14)</f>
        <v>153.84429417957244</v>
      </c>
      <c r="G7" s="533">
        <f>AVERAGE(D14:J14)</f>
        <v>153.84429417957244</v>
      </c>
      <c r="H7" s="534"/>
      <c r="I7" s="533">
        <f>AVERAGE(K14:M14)</f>
        <v>132.75003670520013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0.95750689308202952</v>
      </c>
      <c r="F8" s="536">
        <f>AVERAGE(D15:J15,D33:O33)</f>
        <v>0.95799438857217178</v>
      </c>
      <c r="G8" s="537">
        <f>AVERAGE(D15:J15)</f>
        <v>0.95799438857217178</v>
      </c>
      <c r="H8" s="538"/>
      <c r="I8" s="537">
        <f>AVERAGE(K15:M15)</f>
        <v>0.95636940360503164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2763</v>
      </c>
      <c r="N9" s="57"/>
      <c r="O9" s="57"/>
      <c r="P9" s="57"/>
      <c r="Q9" s="57"/>
    </row>
    <row r="10" spans="2:17" ht="30" customHeight="1">
      <c r="B10" s="511" t="s">
        <v>2764</v>
      </c>
      <c r="C10" s="512"/>
      <c r="D10" s="513" t="s">
        <v>2765</v>
      </c>
      <c r="E10" s="514"/>
      <c r="F10" s="514"/>
      <c r="G10" s="514"/>
      <c r="H10" s="514"/>
      <c r="I10" s="514"/>
      <c r="J10" s="515"/>
      <c r="K10" s="516" t="s">
        <v>2766</v>
      </c>
      <c r="L10" s="517"/>
      <c r="M10" s="518"/>
      <c r="P10" s="63"/>
      <c r="Q10" s="63"/>
    </row>
    <row r="11" spans="2:17" ht="17.25" customHeight="1">
      <c r="B11" s="519" t="s">
        <v>2767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2768</v>
      </c>
      <c r="C13" s="70" t="s">
        <v>164</v>
      </c>
      <c r="D13" s="71">
        <f>SUMIFS('0528 4度C'!$K:$K,'0528 4度C'!$A:$A,"新豐6線",'0528 4度C'!$B:$B,"平均")</f>
        <v>130.43478260869566</v>
      </c>
      <c r="E13" s="72">
        <f>SUMIFS('0528 4度C'!$K:$K,'0528 4度C'!$A:$A,"新豐2線",'0528 4度C'!$B:$B,"平均")</f>
        <v>88.235294117647058</v>
      </c>
      <c r="F13" s="73">
        <f>SUMIFS('0528 4度C'!$K:$K,'0528 4度C'!$A:$A,"新豐5線",'0528 4度C'!$B:$B,"平均")</f>
        <v>96.590909090909079</v>
      </c>
      <c r="G13" s="73">
        <f>SUMIFS('0528 4度C'!$K:$K,'0528 4度C'!$A:$A,"新豐7線",'0528 4度C'!$B:$B,"平均")</f>
        <v>125</v>
      </c>
      <c r="H13" s="73">
        <f>SUMIFS('0528 4度C'!$K:$K,'0528 4度C'!$A:$A,"新豐3線",'0528 4度C'!$B:$B,"平均")</f>
        <v>255.81395348837211</v>
      </c>
      <c r="I13" s="73">
        <f>SUMIFS('0528 4度C'!$K:$K,'0528 4度C'!$A:$A,"新豐1線",'0528 4度C'!$B:$B,"平均")</f>
        <v>109.375</v>
      </c>
      <c r="J13" s="74">
        <f>SUMIFS('0528 4度C'!$K:$K,'0528 4度C'!$A:$A,"新豐10線",'0528 4度C'!$B:$B,"平均")</f>
        <v>319.14893617021278</v>
      </c>
      <c r="K13" s="75">
        <f>SUMIFS('0528 4度C'!$K:$K,'0528 4度C'!$A:$A,"新豐8線",'0528 4度C'!$B:$B,"平均")</f>
        <v>138.46153846153848</v>
      </c>
      <c r="L13" s="76">
        <f>SUMIFS('0528 4度C'!$K:$K,'0528 4度C'!$A:$A,"新豐9線",'0528 4度C'!$B:$B,"平均")</f>
        <v>126.61870503597122</v>
      </c>
      <c r="M13" s="74">
        <f>SUMIFS('0528 4度C'!$K:$K,'0528 4度C'!$A:$A,"新豐4線",'0528 4度C'!$B:$B,"平均")</f>
        <v>151.35135135135135</v>
      </c>
    </row>
    <row r="14" spans="2:17" ht="39.6" customHeight="1">
      <c r="B14" s="524"/>
      <c r="C14" s="77" t="s">
        <v>2769</v>
      </c>
      <c r="D14" s="78">
        <f>SUMIFS('0528 4度C'!$N:$N,'0528 4度C'!$A:$A,"新豐6線",'0528 4度C'!$B:$B,"平均")</f>
        <v>125.16996047430833</v>
      </c>
      <c r="E14" s="79">
        <f>SUMIFS('0528 4度C'!$N:$N,'0528 4度C'!$A:$A,"新豐2線",'0528 4度C'!$B:$B,"平均")</f>
        <v>84.220842626995179</v>
      </c>
      <c r="F14" s="79">
        <f>SUMIFS('0528 4度C'!$N:$N,'0528 4度C'!$A:$A,"新豐5線",'0528 4度C'!$B:$B,"平均")</f>
        <v>92.455932789456753</v>
      </c>
      <c r="G14" s="79">
        <f>SUMIFS('0528 4度C'!$N:$N,'0528 4度C'!$A:$A,"新豐7線",'0528 4度C'!$B:$B,"平均")</f>
        <v>119.86455032869752</v>
      </c>
      <c r="H14" s="79">
        <f>SUMIFS('0528 4度C'!$N:$N,'0528 4度C'!$A:$A,"新豐3線",'0528 4度C'!$B:$B,"平均")</f>
        <v>243.74119341172923</v>
      </c>
      <c r="I14" s="79">
        <f>SUMIFS('0528 4度C'!$N:$N,'0528 4度C'!$A:$A,"新豐1線",'0528 4度C'!$B:$B,"平均")</f>
        <v>105.44496108212701</v>
      </c>
      <c r="J14" s="80">
        <f>SUMIFS('0528 4度C'!$N:$N,'0528 4度C'!$A:$A,"新豐10線",'0528 4度C'!$B:$B,"平均")</f>
        <v>306.01261854369289</v>
      </c>
      <c r="K14" s="81">
        <f>SUMIFS('0528 4度C'!$N:$N,'0528 4度C'!$A:$A,"新豐8線",'0528 4度C'!$B:$B,"平均")</f>
        <v>132.50331944409592</v>
      </c>
      <c r="L14" s="82">
        <f>SUMIFS('0528 4度C'!$N:$N,'0528 4度C'!$A:$A,"新豐9線",'0528 4度C'!$B:$B,"平均")</f>
        <v>121.11782919917208</v>
      </c>
      <c r="M14" s="80">
        <f>SUMIFS('0528 4度C'!$N:$N,'0528 4度C'!$A:$A,"新豐4線",'0528 4度C'!$B:$B,"平均")</f>
        <v>144.62896147233238</v>
      </c>
    </row>
    <row r="15" spans="2:17" ht="40.15" customHeight="1">
      <c r="B15" s="525"/>
      <c r="C15" s="83" t="s">
        <v>2770</v>
      </c>
      <c r="D15" s="84">
        <f t="shared" ref="D15:M15" si="0">D14/D13</f>
        <v>0.95963636363636384</v>
      </c>
      <c r="E15" s="85">
        <f t="shared" si="0"/>
        <v>0.95450288310594533</v>
      </c>
      <c r="F15" s="85">
        <f t="shared" si="0"/>
        <v>0.95719083358496415</v>
      </c>
      <c r="G15" s="85">
        <f t="shared" si="0"/>
        <v>0.95891640262958011</v>
      </c>
      <c r="H15" s="85">
        <f t="shared" si="0"/>
        <v>0.95280648333675966</v>
      </c>
      <c r="I15" s="85">
        <f t="shared" si="0"/>
        <v>0.96406821560801836</v>
      </c>
      <c r="J15" s="86">
        <f t="shared" si="0"/>
        <v>0.95883953810357103</v>
      </c>
      <c r="K15" s="84">
        <f t="shared" si="0"/>
        <v>0.95696841820735934</v>
      </c>
      <c r="L15" s="85">
        <f t="shared" si="0"/>
        <v>0.95655558287982501</v>
      </c>
      <c r="M15" s="86">
        <f t="shared" si="0"/>
        <v>0.95558420972791036</v>
      </c>
    </row>
    <row r="16" spans="2:17" ht="17.25" customHeight="1">
      <c r="B16" s="526" t="s">
        <v>2771</v>
      </c>
      <c r="C16" s="87" t="s">
        <v>2772</v>
      </c>
      <c r="D16" s="88">
        <f>VLOOKUP("新豐6線",'0528 4度C'!$A:$T,19,0)</f>
        <v>0.70833333333333337</v>
      </c>
      <c r="E16" s="89">
        <f>VLOOKUP("新豐2線",'0528 4度C'!$A:$T,19,0)</f>
        <v>8.3333333333333329E-2</v>
      </c>
      <c r="F16" s="89">
        <f>VLOOKUP("新豐5線",'0528 4度C'!$A:$T,19,0)</f>
        <v>0.20833333333333334</v>
      </c>
      <c r="G16" s="89">
        <f>VLOOKUP("新豐7線",'0528 4度C'!$A:$T,19,0)</f>
        <v>0.20833333333333334</v>
      </c>
      <c r="H16" s="89">
        <f>VLOOKUP("新豐3線",'0528 4度C'!$A:$T,19,0)</f>
        <v>8.3333333333333329E-2</v>
      </c>
      <c r="I16" s="89">
        <f>VLOOKUP("新豐1線",'0528 4度C'!$A:$T,19,0)</f>
        <v>0.20833333333333334</v>
      </c>
      <c r="J16" s="90">
        <f>VLOOKUP("新豐10線",'0528 4度C'!$A:$T,19,0)</f>
        <v>0.20833333333333334</v>
      </c>
      <c r="K16" s="91">
        <f>VLOOKUP("新豐8線",'0528 4度C'!$A:$T,19,0)</f>
        <v>8.3333333333333329E-2</v>
      </c>
      <c r="L16" s="92">
        <f>VLOOKUP("新豐9線",'0528 4度C'!$A:$T,19,0)</f>
        <v>8.3333333333333329E-2</v>
      </c>
      <c r="M16" s="93">
        <f>VLOOKUP("新豐4線",'0528 4度C'!$A:$T,19,0)</f>
        <v>8.3333333333333329E-2</v>
      </c>
    </row>
    <row r="17" spans="2:13" ht="17.25" customHeight="1">
      <c r="B17" s="527"/>
      <c r="C17" s="87" t="s">
        <v>2773</v>
      </c>
      <c r="D17" s="91">
        <f>LOOKUP(2,1/(('0528 4度C'!$A:$A="新豐6線")*('0528 4度C'!$T:$T&lt;&gt;"")),'0528 4度C'!$T:$T)</f>
        <v>0.81736111111111109</v>
      </c>
      <c r="E17" s="89">
        <f>LOOKUP(2,1/(('0528 4度C'!$A:$A="新豐2線")*('0528 4度C'!$T:$T&lt;&gt;"")),'0528 4度C'!$T:$T)</f>
        <v>0.69513888888888897</v>
      </c>
      <c r="F17" s="89">
        <f>LOOKUP(2,1/(('0528 4度C'!$A:$A="新豐5線")*('0528 4度C'!$T:$T&lt;&gt;"")),'0528 4度C'!$T:$T)</f>
        <v>0.79583333333333339</v>
      </c>
      <c r="G17" s="89">
        <f>LOOKUP(2,1/(('0528 4度C'!$A:$A="新豐7線")*('0528 4度C'!$T:$T&lt;&gt;"")),'0528 4度C'!$T:$T)</f>
        <v>0.78333333333333333</v>
      </c>
      <c r="H17" s="89">
        <f>LOOKUP(2,1/(('0528 4度C'!$A:$A="新豐3線")*('0528 4度C'!$T:$T&lt;&gt;"")),'0528 4度C'!$T:$T)</f>
        <v>0.37847222222222221</v>
      </c>
      <c r="I17" s="89">
        <f>LOOKUP(2,1/(('0528 4度C'!$A:$A="新豐1線")*('0528 4度C'!$T:$T&lt;&gt;"")),'0528 4度C'!$T:$T)</f>
        <v>0.81597222222222221</v>
      </c>
      <c r="J17" s="90">
        <f>LOOKUP(2,1/(('0528 4度C'!$A:$A="新豐10線")*('0528 4度C'!$T:$T&lt;&gt;"")),'0528 4度C'!$T:$T)</f>
        <v>0.39305555555555549</v>
      </c>
      <c r="K17" s="88">
        <f>LOOKUP(2,1/(('0528 4度C'!$A:$A="新豐8線")*('0528 4度C'!$T:$T&lt;&gt;"")),'0528 4度C'!$T:$T)</f>
        <v>0.6513888888888888</v>
      </c>
      <c r="L17" s="89">
        <f>LOOKUP(2,1/(('0528 4度C'!$A:$A="新豐9線")*('0528 4度C'!$T:$T&lt;&gt;"")),'0528 4度C'!$T:$T)</f>
        <v>0.70624999999999982</v>
      </c>
      <c r="M17" s="90">
        <f>LOOKUP(2,1/(('0528 4度C'!$A:$A="新豐4線")*('0528 4度C'!$T:$T&lt;&gt;"")),'0528 4度C'!$T:$T)</f>
        <v>0.66527777777777763</v>
      </c>
    </row>
    <row r="18" spans="2:13" ht="17.25" customHeight="1">
      <c r="B18" s="505" t="s">
        <v>2774</v>
      </c>
      <c r="C18" s="94" t="s">
        <v>171</v>
      </c>
      <c r="D18" s="95">
        <f>SUMIFS('0528 4度C'!$Y:$Y,'0528 4度C'!$A:$A,"新豐6線",'0528 4度C'!$B:$B,"平均")</f>
        <v>0</v>
      </c>
      <c r="E18" s="96">
        <f>SUMIFS('0528 4度C'!$Y:$Y,'0528 4度C'!$A:$A,"新豐2線",'0528 4度C'!$B:$B,"平均")</f>
        <v>0</v>
      </c>
      <c r="F18" s="96">
        <f>SUMIFS('0528 4度C'!$Y:$Y,'0528 4度C'!$A:$A,"新豐5線",'0528 4度C'!$B:$B,"平均")</f>
        <v>0</v>
      </c>
      <c r="G18" s="96">
        <f>SUMIFS('0528 4度C'!$Y:$Y,'0528 4度C'!$A:$A,"新豐7線",'0528 4度C'!$B:$B,"平均")</f>
        <v>0</v>
      </c>
      <c r="H18" s="96">
        <f>SUMIFS('0528 4度C'!$Y:$Y,'0528 4度C'!$A:$A,"新豐3線",'0528 4度C'!$B:$B,"平均")</f>
        <v>0</v>
      </c>
      <c r="I18" s="96">
        <f>SUMIFS('0528 4度C'!$Y:$Y,'0528 4度C'!$A:$A,"新豐1線",'0528 4度C'!$B:$B,"平均")</f>
        <v>0</v>
      </c>
      <c r="J18" s="97">
        <f>SUMIFS('0528 4度C'!$Y:$Y,'0528 4度C'!$A:$A,"新豐10線",'0528 4度C'!$B:$B,"平均")</f>
        <v>0</v>
      </c>
      <c r="K18" s="98">
        <f>SUMIFS('0528 4度C'!$Y:$Y,'0528 4度C'!$A:$A,"新豐8線",'0528 4度C'!$B:$B,"平均")</f>
        <v>0</v>
      </c>
      <c r="L18" s="96">
        <f>SUMIFS('0528 4度C'!$Y:$Y,'0528 4度C'!$A:$A,"新豐9線",'0528 4度C'!$B:$B,"平均")</f>
        <v>0</v>
      </c>
      <c r="M18" s="97">
        <f>SUMIFS('0528 4度C'!$Y:$Y,'0528 4度C'!$A:$A,"新豐4線",'0528 4度C'!$B:$B,"平均")</f>
        <v>0</v>
      </c>
    </row>
    <row r="19" spans="2:13" ht="17.25" customHeight="1">
      <c r="B19" s="506"/>
      <c r="C19" s="94" t="s">
        <v>2775</v>
      </c>
      <c r="D19" s="95">
        <f>SUMIFS('0528 4度C'!$Z:$Z,'0528 4度C'!$A:$A,"新豐6線",'0528 4度C'!$B:$B,"平均")</f>
        <v>0</v>
      </c>
      <c r="E19" s="96">
        <f>SUMIFS('0528 4度C'!$Z:$Z,'0528 4度C'!$A:$A,"新豐2線",'0528 4度C'!$B:$B,"平均")</f>
        <v>0</v>
      </c>
      <c r="F19" s="96">
        <f>SUMIFS('0528 4度C'!$Z:$Z,'0528 4度C'!$A:$A,"新豐5線",'0528 4度C'!$B:$B,"平均")</f>
        <v>0</v>
      </c>
      <c r="G19" s="96">
        <f>SUMIFS('0528 4度C'!$Z:$Z,'0528 4度C'!$A:$A,"新豐7線",'0528 4度C'!$B:$B,"平均")</f>
        <v>0</v>
      </c>
      <c r="H19" s="96">
        <f>SUMIFS('0528 4度C'!$Z:$Z,'0528 4度C'!$A:$A,"新豐3線",'0528 4度C'!$B:$B,"平均")</f>
        <v>0</v>
      </c>
      <c r="I19" s="96">
        <f>SUMIFS('0528 4度C'!$Z:$Z,'0528 4度C'!$A:$A,"新豐1線",'0528 4度C'!$B:$B,"平均")</f>
        <v>0</v>
      </c>
      <c r="J19" s="97">
        <f>SUMIFS('0528 4度C'!$Z:$Z,'0528 4度C'!$A:$A,"新豐10線",'0528 4度C'!$B:$B,"平均")</f>
        <v>0</v>
      </c>
      <c r="K19" s="98">
        <f>SUMIFS('0528 4度C'!$Z:$Z,'0528 4度C'!$A:$A,"新豐8線",'0528 4度C'!$B:$B,"平均")</f>
        <v>0</v>
      </c>
      <c r="L19" s="96">
        <f>SUMIFS('0528 4度C'!$Z:$Z,'0528 4度C'!$A:$A,"新豐9線",'0528 4度C'!$B:$B,"平均")</f>
        <v>0</v>
      </c>
      <c r="M19" s="97">
        <f>SUMIFS('0528 4度C'!$Z:$Z,'0528 4度C'!$A:$A,"新豐4線",'0528 4度C'!$B:$B,"平均")</f>
        <v>0</v>
      </c>
    </row>
    <row r="20" spans="2:13" ht="17.25" customHeight="1">
      <c r="B20" s="505" t="s">
        <v>2776</v>
      </c>
      <c r="C20" s="94" t="s">
        <v>2777</v>
      </c>
      <c r="D20" s="95">
        <f>SUMIFS('0528 4度C'!$AC:$AC,'0528 4度C'!$A:$A,"新豐6線",'0528 4度C'!$B:$B,"平均")</f>
        <v>3</v>
      </c>
      <c r="E20" s="96">
        <f>SUMIFS('0528 4度C'!$AC:$AC,'0528 4度C'!$A:$A,"新豐2線",'0528 4度C'!$B:$B,"平均")</f>
        <v>5</v>
      </c>
      <c r="F20" s="96">
        <f>SUMIFS('0528 4度C'!$AC:$AC,'0528 4度C'!$A:$A,"新豐5線",'0528 4度C'!$B:$B,"平均")</f>
        <v>5</v>
      </c>
      <c r="G20" s="96">
        <f>SUMIFS('0528 4度C'!$AC:$AC,'0528 4度C'!$A:$A,"新豐7線",'0528 4度C'!$B:$B,"平均")</f>
        <v>6</v>
      </c>
      <c r="H20" s="96">
        <f>SUMIFS('0528 4度C'!$AC:$AC,'0528 4度C'!$A:$A,"新豐3線",'0528 4度C'!$B:$B,"平均")</f>
        <v>4</v>
      </c>
      <c r="I20" s="96">
        <f>SUMIFS('0528 4度C'!$AC:$AC,'0528 4度C'!$A:$A,"新豐1線",'0528 4度C'!$B:$B,"平均")</f>
        <v>7</v>
      </c>
      <c r="J20" s="97">
        <f>SUMIFS('0528 4度C'!$AC:$AC,'0528 4度C'!$A:$A,"新豐10線",'0528 4度C'!$B:$B,"平均")</f>
        <v>5</v>
      </c>
      <c r="K20" s="98">
        <f>SUMIFS('0528 4度C'!$AC:$AC,'0528 4度C'!$A:$A,"新豐8線",'0528 4度C'!$B:$B,"平均")</f>
        <v>6</v>
      </c>
      <c r="L20" s="96">
        <f>SUMIFS('0528 4度C'!$AC:$AC,'0528 4度C'!$A:$A,"新豐9線",'0528 4度C'!$B:$B,"平均")</f>
        <v>8</v>
      </c>
      <c r="M20" s="97">
        <f>SUMIFS('0528 4度C'!$AC:$AC,'0528 4度C'!$A:$A,"新豐4線",'0528 4度C'!$B:$B,"平均")</f>
        <v>7</v>
      </c>
    </row>
    <row r="21" spans="2:13" ht="17.25" customHeight="1">
      <c r="B21" s="506"/>
      <c r="C21" s="94" t="s">
        <v>2778</v>
      </c>
      <c r="D21" s="95">
        <f>SUMIFS('0528 4度C'!$AD:$AD,'0528 4度C'!$A:$A,"新豐6線",'0528 4度C'!$B:$B,"平均")</f>
        <v>0</v>
      </c>
      <c r="E21" s="96">
        <f>SUMIFS('0528 4度C'!$AD:$AD,'0528 4度C'!$A:$A,"新豐2線",'0528 4度C'!$B:$B,"平均")</f>
        <v>0</v>
      </c>
      <c r="F21" s="96">
        <f>SUMIFS('0528 4度C'!$AD:$AD,'0528 4度C'!$A:$A,"新豐5線",'0528 4度C'!$B:$B,"平均")</f>
        <v>0</v>
      </c>
      <c r="G21" s="96">
        <f>SUMIFS('0528 4度C'!$AD:$AD,'0528 4度C'!$A:$A,"新豐7線",'0528 4度C'!$B:$B,"平均")</f>
        <v>0</v>
      </c>
      <c r="H21" s="96">
        <f>SUMIFS('0528 4度C'!$AD:$AD,'0528 4度C'!$A:$A,"新豐3線",'0528 4度C'!$B:$B,"平均")</f>
        <v>0</v>
      </c>
      <c r="I21" s="96">
        <f>SUMIFS('0528 4度C'!$AD:$AD,'0528 4度C'!$A:$A,"新豐1線",'0528 4度C'!$B:$B,"平均")</f>
        <v>0</v>
      </c>
      <c r="J21" s="97">
        <f>SUMIFS('0528 4度C'!$AD:$AD,'0528 4度C'!$A:$A,"新豐10線",'0528 4度C'!$B:$B,"平均")</f>
        <v>0</v>
      </c>
      <c r="K21" s="98">
        <f>SUMIFS('0528 4度C'!$AD:$AD,'0528 4度C'!$A:$A,"新豐8線",'0528 4度C'!$B:$B,"平均")</f>
        <v>0</v>
      </c>
      <c r="L21" s="96">
        <f>SUMIFS('0528 4度C'!$AD:$AD,'0528 4度C'!$A:$A,"新豐9線",'0528 4度C'!$B:$B,"平均")</f>
        <v>0</v>
      </c>
      <c r="M21" s="97">
        <f>SUMIFS('0528 4度C'!$AD:$AD,'0528 4度C'!$A:$A,"新豐4線",'0528 4度C'!$B:$B,"平均")</f>
        <v>0</v>
      </c>
    </row>
    <row r="22" spans="2:13" ht="17.25" customHeight="1">
      <c r="B22" s="507" t="s">
        <v>2779</v>
      </c>
      <c r="C22" s="508"/>
      <c r="D22" s="99">
        <f>SUMIFS('0528 4度C'!$I:$I,'0528 4度C'!$A:$A,"新豐6線",'0528 4度C'!$B:$B,"平均")</f>
        <v>15.333333333333334</v>
      </c>
      <c r="E22" s="100">
        <f>SUMIFS('0528 4度C'!$I:$I,'0528 4度C'!$A:$A,"新豐2線",'0528 4度C'!$B:$B,"平均")</f>
        <v>17</v>
      </c>
      <c r="F22" s="100">
        <f>SUMIFS('0528 4度C'!$I:$I,'0528 4度C'!$A:$A,"新豐5線",'0528 4度C'!$B:$B,"平均")</f>
        <v>17.600000000000001</v>
      </c>
      <c r="G22" s="100">
        <f>SUMIFS('0528 4度C'!$I:$I,'0528 4度C'!$A:$A,"新豐7線",'0528 4度C'!$B:$B,"平均")</f>
        <v>15.333333333333334</v>
      </c>
      <c r="H22" s="100">
        <f>SUMIFS('0528 4度C'!$I:$I,'0528 4度C'!$A:$A,"新豐3線",'0528 4度C'!$B:$B,"平均")</f>
        <v>10.75</v>
      </c>
      <c r="I22" s="100">
        <f>SUMIFS('0528 4度C'!$I:$I,'0528 4度C'!$A:$A,"新豐1線",'0528 4度C'!$B:$B,"平均")</f>
        <v>18.285714285714285</v>
      </c>
      <c r="J22" s="101">
        <f>SUMIFS('0528 4度C'!$I:$I,'0528 4度C'!$A:$A,"新豐10線",'0528 4度C'!$B:$B,"平均")</f>
        <v>9.4</v>
      </c>
      <c r="K22" s="99">
        <f>SUMIFS('0528 4度C'!$I:$I,'0528 4度C'!$A:$A,"新豐8線",'0528 4度C'!$B:$B,"平均")</f>
        <v>17.333333333333332</v>
      </c>
      <c r="L22" s="100">
        <f>SUMIFS('0528 4度C'!$I:$I,'0528 4度C'!$A:$A,"新豐9線",'0528 4度C'!$B:$B,"平均")</f>
        <v>17.375</v>
      </c>
      <c r="M22" s="101">
        <f>SUMIFS('0528 4度C'!$I:$I,'0528 4度C'!$A:$A,"新豐4線",'0528 4度C'!$B:$B,"平均")</f>
        <v>15.857142857142858</v>
      </c>
    </row>
    <row r="23" spans="2:13" ht="17.25" customHeight="1">
      <c r="B23" s="507" t="s">
        <v>2780</v>
      </c>
      <c r="C23" s="508"/>
      <c r="D23" s="102" t="s">
        <v>177</v>
      </c>
      <c r="E23" s="103" t="s">
        <v>178</v>
      </c>
      <c r="F23" s="103" t="s">
        <v>2781</v>
      </c>
      <c r="G23" s="103" t="s">
        <v>2781</v>
      </c>
      <c r="H23" s="103" t="s">
        <v>180</v>
      </c>
      <c r="I23" s="103" t="s">
        <v>177</v>
      </c>
      <c r="J23" s="104" t="s">
        <v>180</v>
      </c>
      <c r="K23" s="102" t="s">
        <v>2782</v>
      </c>
      <c r="L23" s="103" t="s">
        <v>226</v>
      </c>
      <c r="M23" s="104" t="s">
        <v>2782</v>
      </c>
    </row>
    <row r="24" spans="2:13" ht="17.25" customHeight="1">
      <c r="B24" s="507" t="s">
        <v>2783</v>
      </c>
      <c r="C24" s="508"/>
      <c r="D24" s="102"/>
      <c r="E24" s="103"/>
      <c r="F24" s="103" t="s">
        <v>2784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2785</v>
      </c>
      <c r="C25" s="510"/>
      <c r="D25" s="105"/>
      <c r="E25" s="106" t="s">
        <v>231</v>
      </c>
      <c r="F25" s="503" t="s">
        <v>2786</v>
      </c>
      <c r="G25" s="504"/>
      <c r="H25" s="106" t="s">
        <v>2787</v>
      </c>
      <c r="I25" s="106" t="s">
        <v>2788</v>
      </c>
      <c r="J25" s="107" t="s">
        <v>2787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63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1"/>
  <sheetViews>
    <sheetView zoomScale="80" zoomScaleNormal="80" workbookViewId="0">
      <pane ySplit="4" topLeftCell="A5" activePane="bottomLeft" state="frozen"/>
      <selection activeCell="G5" sqref="G5:H5"/>
      <selection pane="bottomLeft" activeCell="G5" sqref="G5:H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2789</v>
      </c>
      <c r="B1" s="1"/>
      <c r="C1" s="2" t="s">
        <v>2790</v>
      </c>
      <c r="D1" s="3">
        <f>SUM(F5:F70)</f>
        <v>167967</v>
      </c>
      <c r="E1" s="447" t="s">
        <v>2791</v>
      </c>
      <c r="F1" s="1">
        <f>SUM(G5:G70)</f>
        <v>5656119.6099999985</v>
      </c>
      <c r="G1" s="1" t="s">
        <v>2792</v>
      </c>
      <c r="H1" s="5">
        <f>L8+L14+L48+L56+L20+L62+L34+L43+L27+L70</f>
        <v>154.26785714285714</v>
      </c>
      <c r="I1" s="617" t="s">
        <v>2793</v>
      </c>
      <c r="J1" s="617"/>
      <c r="K1" s="617"/>
      <c r="L1" s="617" t="s">
        <v>2794</v>
      </c>
      <c r="M1" s="617"/>
      <c r="N1" s="617"/>
      <c r="O1" s="617" t="s">
        <v>2795</v>
      </c>
      <c r="P1" s="617"/>
      <c r="Q1" s="617"/>
      <c r="R1" s="617"/>
      <c r="S1" s="617" t="s">
        <v>2796</v>
      </c>
      <c r="T1" s="617"/>
      <c r="U1" s="617"/>
      <c r="V1" s="617"/>
      <c r="W1" s="617"/>
      <c r="X1" s="617"/>
      <c r="Y1" s="6" t="s">
        <v>2797</v>
      </c>
      <c r="Z1" s="7" t="s">
        <v>2798</v>
      </c>
      <c r="AA1" s="618" t="s">
        <v>2799</v>
      </c>
      <c r="AB1" s="618"/>
      <c r="AC1" s="8" t="s">
        <v>2797</v>
      </c>
      <c r="AD1" s="7" t="s">
        <v>2800</v>
      </c>
      <c r="AE1" s="617" t="s">
        <v>2801</v>
      </c>
      <c r="AF1" s="619"/>
      <c r="AG1" s="619"/>
    </row>
    <row r="2" spans="1:33" ht="26.25" customHeight="1">
      <c r="A2" s="452">
        <v>46170</v>
      </c>
      <c r="B2" s="453" t="s">
        <v>685</v>
      </c>
      <c r="C2" s="2" t="s">
        <v>2768</v>
      </c>
      <c r="D2" s="10">
        <f>AVERAGE(N8,N14,N48,N56,N20,N62,N27,N34,N43,N70)</f>
        <v>147.51601693726073</v>
      </c>
      <c r="E2" s="11" t="s">
        <v>14</v>
      </c>
      <c r="F2" s="12">
        <f>F1/D1</f>
        <v>33.673993165324134</v>
      </c>
      <c r="G2" s="1" t="s">
        <v>2802</v>
      </c>
      <c r="H2" s="450">
        <f>COUNT(H5:H70)</f>
        <v>9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SUM(Y8+Y14+Y20+Y27+Y34+Y43+Y48+Y56+Y62+Y70)</f>
        <v>0</v>
      </c>
      <c r="Z2" s="14">
        <f>SUM(Z8+Z14+Z20+Z27+Z34+Z43+Z48+Z56+Z62+Z70)</f>
        <v>0</v>
      </c>
      <c r="AA2" s="618"/>
      <c r="AB2" s="618"/>
      <c r="AC2" s="14">
        <f>SUM(AC8+AC14+AC20+AC27+AC34+AC43+AC48+AC56+AC62+AC70)</f>
        <v>56</v>
      </c>
      <c r="AD2" s="14">
        <f>SUM(AD8+AD14+AD20+AD27+AD34+AD43+AD48+AD56+AD62+AD70)</f>
        <v>0</v>
      </c>
      <c r="AE2" s="619"/>
      <c r="AF2" s="619"/>
      <c r="AG2" s="619"/>
    </row>
    <row r="3" spans="1:33" ht="40.5" customHeight="1">
      <c r="A3" s="575" t="s">
        <v>2803</v>
      </c>
      <c r="B3" s="575" t="s">
        <v>2804</v>
      </c>
      <c r="C3" s="575" t="s">
        <v>2805</v>
      </c>
      <c r="D3" s="575"/>
      <c r="E3" s="615" t="s">
        <v>2806</v>
      </c>
      <c r="F3" s="575" t="s">
        <v>2807</v>
      </c>
      <c r="G3" s="615" t="s">
        <v>2808</v>
      </c>
      <c r="H3" s="608" t="s">
        <v>2809</v>
      </c>
      <c r="I3" s="606" t="s">
        <v>2810</v>
      </c>
      <c r="J3" s="603" t="s">
        <v>2811</v>
      </c>
      <c r="K3" s="613" t="s">
        <v>2768</v>
      </c>
      <c r="L3" s="606" t="s">
        <v>2810</v>
      </c>
      <c r="M3" s="603" t="s">
        <v>2811</v>
      </c>
      <c r="N3" s="613" t="s">
        <v>2768</v>
      </c>
      <c r="O3" s="606" t="s">
        <v>2810</v>
      </c>
      <c r="P3" s="613" t="s">
        <v>2768</v>
      </c>
      <c r="Q3" s="604" t="s">
        <v>2812</v>
      </c>
      <c r="R3" s="582" t="s">
        <v>2813</v>
      </c>
      <c r="S3" s="575" t="s">
        <v>28</v>
      </c>
      <c r="T3" s="575"/>
      <c r="U3" s="608" t="s">
        <v>29</v>
      </c>
      <c r="V3" s="608" t="s">
        <v>2814</v>
      </c>
      <c r="W3" s="575" t="s">
        <v>2815</v>
      </c>
      <c r="X3" s="575"/>
      <c r="Y3" s="609" t="s">
        <v>2816</v>
      </c>
      <c r="Z3" s="572"/>
      <c r="AA3" s="610" t="s">
        <v>2817</v>
      </c>
      <c r="AB3" s="611"/>
      <c r="AC3" s="609" t="s">
        <v>2818</v>
      </c>
      <c r="AD3" s="572"/>
      <c r="AE3" s="603" t="s">
        <v>2819</v>
      </c>
      <c r="AF3" s="604" t="s">
        <v>2812</v>
      </c>
      <c r="AG3" s="582" t="s">
        <v>2813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447" t="s">
        <v>36</v>
      </c>
      <c r="T4" s="447" t="s">
        <v>37</v>
      </c>
      <c r="U4" s="608"/>
      <c r="V4" s="608"/>
      <c r="W4" s="447" t="s">
        <v>2820</v>
      </c>
      <c r="X4" s="447" t="s">
        <v>2821</v>
      </c>
      <c r="Y4" s="445" t="s">
        <v>2777</v>
      </c>
      <c r="Z4" s="445" t="s">
        <v>2822</v>
      </c>
      <c r="AA4" s="612"/>
      <c r="AB4" s="611"/>
      <c r="AC4" s="445" t="s">
        <v>2823</v>
      </c>
      <c r="AD4" s="445" t="s">
        <v>2824</v>
      </c>
      <c r="AE4" s="603"/>
      <c r="AF4" s="604"/>
      <c r="AG4" s="582"/>
    </row>
    <row r="5" spans="1:33">
      <c r="A5" s="605" t="s">
        <v>2825</v>
      </c>
      <c r="B5" s="454" t="s">
        <v>74</v>
      </c>
      <c r="C5" s="629" t="s">
        <v>77</v>
      </c>
      <c r="D5" s="629"/>
      <c r="E5" s="454">
        <v>50.67</v>
      </c>
      <c r="F5" s="455">
        <v>1184</v>
      </c>
      <c r="G5" s="447">
        <f t="shared" ref="G5:G7" si="0">E5*F5</f>
        <v>59993.279999999999</v>
      </c>
      <c r="H5" s="456" t="s">
        <v>126</v>
      </c>
      <c r="I5" s="448">
        <v>15</v>
      </c>
      <c r="J5" s="457">
        <v>2000</v>
      </c>
      <c r="K5" s="18">
        <f t="shared" ref="K5:K68" si="1">J5/I5</f>
        <v>133.33333333333334</v>
      </c>
      <c r="L5" s="448">
        <v>15</v>
      </c>
      <c r="M5" s="19">
        <f t="shared" ref="M5:M7" si="2">F5/V5*60</f>
        <v>1919.9999999999984</v>
      </c>
      <c r="N5" s="18">
        <f t="shared" ref="N5:N68" si="3">M5/L5</f>
        <v>127.9999999999999</v>
      </c>
      <c r="O5" s="20">
        <f t="shared" ref="O5:O68" si="4">L5-I5</f>
        <v>0</v>
      </c>
      <c r="P5" s="21">
        <f t="shared" ref="P5:P68" si="5">N5-K5</f>
        <v>-5.3333333333334423</v>
      </c>
      <c r="Q5" s="446">
        <f t="shared" ref="Q5:Q68" si="6">N5/K5</f>
        <v>0.95999999999999919</v>
      </c>
      <c r="R5" s="573">
        <f>Q8</f>
        <v>0.95963636363636384</v>
      </c>
      <c r="S5" s="458">
        <v>0.70833333333333337</v>
      </c>
      <c r="T5" s="458">
        <v>0.73402777777777783</v>
      </c>
      <c r="U5" s="447"/>
      <c r="V5" s="449">
        <f t="shared" ref="V5:V7" si="7">(T5-S5)*24*60</f>
        <v>37.000000000000028</v>
      </c>
      <c r="W5" s="25"/>
      <c r="X5" s="26"/>
      <c r="Y5" s="26"/>
      <c r="Z5" s="26"/>
      <c r="AA5" s="575"/>
      <c r="AB5" s="575"/>
      <c r="AC5" s="459">
        <v>3</v>
      </c>
      <c r="AD5" s="27"/>
      <c r="AE5" s="20">
        <f t="shared" ref="AE5:AE55" si="8">M5-J5</f>
        <v>-80.000000000001592</v>
      </c>
      <c r="AF5" s="446">
        <f t="shared" ref="AF5:AF68" si="9">M5/J5</f>
        <v>0.95999999999999919</v>
      </c>
      <c r="AG5" s="573">
        <f>AF8</f>
        <v>0.95963636363636384</v>
      </c>
    </row>
    <row r="6" spans="1:33">
      <c r="A6" s="606" t="s">
        <v>2826</v>
      </c>
      <c r="B6" s="454" t="s">
        <v>74</v>
      </c>
      <c r="C6" s="629" t="s">
        <v>86</v>
      </c>
      <c r="D6" s="629"/>
      <c r="E6" s="454">
        <v>50.92</v>
      </c>
      <c r="F6" s="455">
        <v>1765</v>
      </c>
      <c r="G6" s="447">
        <f t="shared" si="0"/>
        <v>89873.8</v>
      </c>
      <c r="H6" s="456" t="s">
        <v>126</v>
      </c>
      <c r="I6" s="448">
        <v>15</v>
      </c>
      <c r="J6" s="457">
        <v>2000</v>
      </c>
      <c r="K6" s="18">
        <f t="shared" si="1"/>
        <v>133.33333333333334</v>
      </c>
      <c r="L6" s="448">
        <v>15</v>
      </c>
      <c r="M6" s="19">
        <f t="shared" si="2"/>
        <v>1925.4545454545469</v>
      </c>
      <c r="N6" s="18">
        <f t="shared" si="3"/>
        <v>128.36363636363646</v>
      </c>
      <c r="O6" s="20">
        <f t="shared" si="4"/>
        <v>0</v>
      </c>
      <c r="P6" s="21">
        <f t="shared" si="5"/>
        <v>-4.9696969696968836</v>
      </c>
      <c r="Q6" s="446">
        <f t="shared" si="6"/>
        <v>0.96272727272727343</v>
      </c>
      <c r="R6" s="573"/>
      <c r="S6" s="458">
        <v>0.73750000000000004</v>
      </c>
      <c r="T6" s="458">
        <v>0.77569444444444446</v>
      </c>
      <c r="U6" s="447">
        <f t="shared" ref="U6:U7" si="10">IF(S6=TIME(17,0,0),"",(S6-T5)*24*60)</f>
        <v>4.9999999999999822</v>
      </c>
      <c r="V6" s="449">
        <f t="shared" si="7"/>
        <v>54.999999999999964</v>
      </c>
      <c r="W6" s="25"/>
      <c r="X6" s="25"/>
      <c r="Y6" s="25"/>
      <c r="Z6" s="25"/>
      <c r="AA6" s="575"/>
      <c r="AB6" s="575"/>
      <c r="AC6" s="459"/>
      <c r="AD6" s="27"/>
      <c r="AE6" s="20">
        <f t="shared" si="8"/>
        <v>-74.54545454545314</v>
      </c>
      <c r="AF6" s="446">
        <f t="shared" si="9"/>
        <v>0.96272727272727343</v>
      </c>
      <c r="AG6" s="573"/>
    </row>
    <row r="7" spans="1:33">
      <c r="A7" s="606" t="s">
        <v>2825</v>
      </c>
      <c r="B7" s="454" t="s">
        <v>74</v>
      </c>
      <c r="C7" s="627" t="s">
        <v>93</v>
      </c>
      <c r="D7" s="628"/>
      <c r="E7" s="454">
        <v>50.98</v>
      </c>
      <c r="F7" s="455">
        <v>1753</v>
      </c>
      <c r="G7" s="447">
        <f t="shared" si="0"/>
        <v>89367.939999999988</v>
      </c>
      <c r="H7" s="456" t="s">
        <v>126</v>
      </c>
      <c r="I7" s="448">
        <v>16</v>
      </c>
      <c r="J7" s="457">
        <v>2000</v>
      </c>
      <c r="K7" s="18">
        <f t="shared" si="1"/>
        <v>125</v>
      </c>
      <c r="L7" s="448">
        <v>16</v>
      </c>
      <c r="M7" s="19">
        <f t="shared" si="2"/>
        <v>1912.3636363636376</v>
      </c>
      <c r="N7" s="18">
        <f t="shared" si="3"/>
        <v>119.52272727272735</v>
      </c>
      <c r="O7" s="20">
        <f t="shared" si="4"/>
        <v>0</v>
      </c>
      <c r="P7" s="21">
        <f t="shared" si="5"/>
        <v>-5.4772727272726485</v>
      </c>
      <c r="Q7" s="446">
        <f t="shared" si="6"/>
        <v>0.9561818181818188</v>
      </c>
      <c r="R7" s="573"/>
      <c r="S7" s="458">
        <v>0.77916666666666667</v>
      </c>
      <c r="T7" s="458">
        <v>0.81736111111111109</v>
      </c>
      <c r="U7" s="447">
        <f t="shared" si="10"/>
        <v>4.9999999999999822</v>
      </c>
      <c r="V7" s="449">
        <f t="shared" si="7"/>
        <v>54.999999999999964</v>
      </c>
      <c r="W7" s="25"/>
      <c r="X7" s="25"/>
      <c r="Y7" s="28"/>
      <c r="Z7" s="28"/>
      <c r="AA7" s="568"/>
      <c r="AB7" s="569"/>
      <c r="AC7" s="459"/>
      <c r="AD7" s="29"/>
      <c r="AE7" s="20">
        <f t="shared" si="8"/>
        <v>-87.636363636362375</v>
      </c>
      <c r="AF7" s="446">
        <f t="shared" si="9"/>
        <v>0.9561818181818188</v>
      </c>
      <c r="AG7" s="573"/>
    </row>
    <row r="8" spans="1:33">
      <c r="A8" s="606" t="s">
        <v>2825</v>
      </c>
      <c r="B8" s="454" t="s">
        <v>2827</v>
      </c>
      <c r="C8" s="625"/>
      <c r="D8" s="625"/>
      <c r="E8" s="460"/>
      <c r="F8" s="461"/>
      <c r="G8" s="18"/>
      <c r="H8" s="455"/>
      <c r="I8" s="32">
        <v>15.333333333333334</v>
      </c>
      <c r="J8" s="457">
        <v>2000</v>
      </c>
      <c r="K8" s="18">
        <f t="shared" si="1"/>
        <v>130.43478260869566</v>
      </c>
      <c r="L8" s="32">
        <v>15.333333333333334</v>
      </c>
      <c r="M8" s="19">
        <f>AVERAGE(M5:M7)</f>
        <v>1919.2727272727277</v>
      </c>
      <c r="N8" s="18">
        <f t="shared" si="3"/>
        <v>125.16996047430833</v>
      </c>
      <c r="O8" s="20">
        <f t="shared" si="4"/>
        <v>0</v>
      </c>
      <c r="P8" s="21">
        <f t="shared" si="5"/>
        <v>-5.2648221343873303</v>
      </c>
      <c r="Q8" s="446">
        <f t="shared" si="6"/>
        <v>0.95963636363636384</v>
      </c>
      <c r="R8" s="573"/>
      <c r="S8" s="458"/>
      <c r="T8" s="458"/>
      <c r="U8" s="447"/>
      <c r="V8" s="449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-80.727272727272293</v>
      </c>
      <c r="AF8" s="446">
        <f t="shared" si="9"/>
        <v>0.95963636363636384</v>
      </c>
      <c r="AG8" s="573"/>
    </row>
    <row r="9" spans="1:33" ht="15.75" customHeight="1">
      <c r="A9" s="602" t="s">
        <v>2828</v>
      </c>
      <c r="B9" s="454" t="s">
        <v>79</v>
      </c>
      <c r="C9" s="627" t="s">
        <v>80</v>
      </c>
      <c r="D9" s="628"/>
      <c r="E9" s="454">
        <v>39.619999999999997</v>
      </c>
      <c r="F9" s="455">
        <v>5029</v>
      </c>
      <c r="G9" s="447">
        <f t="shared" ref="G9:G13" si="11">E9*F9</f>
        <v>199248.97999999998</v>
      </c>
      <c r="H9" s="456" t="s">
        <v>126</v>
      </c>
      <c r="I9" s="448">
        <v>19</v>
      </c>
      <c r="J9" s="457">
        <v>1500</v>
      </c>
      <c r="K9" s="18">
        <f t="shared" si="1"/>
        <v>78.94736842105263</v>
      </c>
      <c r="L9" s="448">
        <v>19</v>
      </c>
      <c r="M9" s="19">
        <f t="shared" ref="M9:M13" si="12">F9/V9*60</f>
        <v>1430.0473933649284</v>
      </c>
      <c r="N9" s="18">
        <f t="shared" si="3"/>
        <v>75.265652282364655</v>
      </c>
      <c r="O9" s="20">
        <f t="shared" si="4"/>
        <v>0</v>
      </c>
      <c r="P9" s="21">
        <f t="shared" si="5"/>
        <v>-3.6817161386879746</v>
      </c>
      <c r="Q9" s="446">
        <f t="shared" si="6"/>
        <v>0.95336492890995228</v>
      </c>
      <c r="R9" s="573">
        <f>Q14</f>
        <v>0.95450288310594533</v>
      </c>
      <c r="S9" s="458">
        <v>8.3333333333333329E-2</v>
      </c>
      <c r="T9" s="458">
        <v>0.22986111111111113</v>
      </c>
      <c r="U9" s="447"/>
      <c r="V9" s="449">
        <f t="shared" ref="V9:V13" si="13">(T9-S9)*24*60</f>
        <v>211.00000000000006</v>
      </c>
      <c r="W9" s="25">
        <f>T9</f>
        <v>0.22986111111111113</v>
      </c>
      <c r="X9" s="25">
        <f>S10</f>
        <v>0.25</v>
      </c>
      <c r="Y9" s="25"/>
      <c r="Z9" s="25"/>
      <c r="AA9" s="575"/>
      <c r="AB9" s="575"/>
      <c r="AC9" s="459">
        <v>5</v>
      </c>
      <c r="AD9" s="27"/>
      <c r="AE9" s="20">
        <f t="shared" si="8"/>
        <v>-69.952606635071561</v>
      </c>
      <c r="AF9" s="446">
        <f t="shared" si="9"/>
        <v>0.95336492890995228</v>
      </c>
      <c r="AG9" s="573">
        <f>AF14</f>
        <v>0.95450288310594533</v>
      </c>
    </row>
    <row r="10" spans="1:33" ht="15.75" customHeight="1">
      <c r="A10" s="602" t="s">
        <v>2828</v>
      </c>
      <c r="B10" s="454" t="s">
        <v>79</v>
      </c>
      <c r="C10" s="627" t="s">
        <v>81</v>
      </c>
      <c r="D10" s="628"/>
      <c r="E10" s="454">
        <v>39.799999999999997</v>
      </c>
      <c r="F10" s="455">
        <v>4500</v>
      </c>
      <c r="G10" s="447">
        <f t="shared" si="11"/>
        <v>179100</v>
      </c>
      <c r="H10" s="456">
        <v>2</v>
      </c>
      <c r="I10" s="448">
        <v>17</v>
      </c>
      <c r="J10" s="457">
        <v>1500</v>
      </c>
      <c r="K10" s="18">
        <f t="shared" si="1"/>
        <v>88.235294117647058</v>
      </c>
      <c r="L10" s="448">
        <v>17</v>
      </c>
      <c r="M10" s="19">
        <f t="shared" si="12"/>
        <v>1428.5714285714289</v>
      </c>
      <c r="N10" s="18">
        <f t="shared" si="3"/>
        <v>84.033613445378165</v>
      </c>
      <c r="O10" s="20">
        <f t="shared" si="4"/>
        <v>0</v>
      </c>
      <c r="P10" s="21">
        <f t="shared" si="5"/>
        <v>-4.2016806722688926</v>
      </c>
      <c r="Q10" s="446">
        <f t="shared" si="6"/>
        <v>0.95238095238095255</v>
      </c>
      <c r="R10" s="573"/>
      <c r="S10" s="458">
        <v>0.25</v>
      </c>
      <c r="T10" s="458">
        <v>0.38124999999999998</v>
      </c>
      <c r="U10" s="447">
        <f t="shared" ref="U10:U13" si="14">IF(S10=TIME(17,0,0),"",(S10-T9)*24*60)</f>
        <v>28.999999999999979</v>
      </c>
      <c r="V10" s="449">
        <f t="shared" si="13"/>
        <v>188.99999999999997</v>
      </c>
      <c r="W10" s="25"/>
      <c r="X10" s="25"/>
      <c r="Y10" s="25"/>
      <c r="Z10" s="25"/>
      <c r="AA10" s="575"/>
      <c r="AB10" s="575"/>
      <c r="AC10" s="459"/>
      <c r="AD10" s="27"/>
      <c r="AE10" s="20">
        <f t="shared" si="8"/>
        <v>-71.428571428571104</v>
      </c>
      <c r="AF10" s="446">
        <f t="shared" si="9"/>
        <v>0.95238095238095255</v>
      </c>
      <c r="AG10" s="573"/>
    </row>
    <row r="11" spans="1:33" ht="15.75" customHeight="1">
      <c r="A11" s="602" t="s">
        <v>2829</v>
      </c>
      <c r="B11" s="454" t="s">
        <v>79</v>
      </c>
      <c r="C11" s="627" t="s">
        <v>1953</v>
      </c>
      <c r="D11" s="628"/>
      <c r="E11" s="454">
        <v>39.46</v>
      </c>
      <c r="F11" s="455">
        <v>3700</v>
      </c>
      <c r="G11" s="447">
        <f t="shared" si="11"/>
        <v>146002</v>
      </c>
      <c r="H11" s="456">
        <v>2</v>
      </c>
      <c r="I11" s="448">
        <v>16</v>
      </c>
      <c r="J11" s="457">
        <v>1500</v>
      </c>
      <c r="K11" s="18">
        <f t="shared" si="1"/>
        <v>93.75</v>
      </c>
      <c r="L11" s="448">
        <v>16</v>
      </c>
      <c r="M11" s="19">
        <f t="shared" si="12"/>
        <v>1432.258064516129</v>
      </c>
      <c r="N11" s="18">
        <f t="shared" si="3"/>
        <v>89.516129032258064</v>
      </c>
      <c r="O11" s="20">
        <f t="shared" si="4"/>
        <v>0</v>
      </c>
      <c r="P11" s="21">
        <f t="shared" si="5"/>
        <v>-4.2338709677419359</v>
      </c>
      <c r="Q11" s="446">
        <f t="shared" si="6"/>
        <v>0.95483870967741935</v>
      </c>
      <c r="R11" s="573"/>
      <c r="S11" s="458">
        <v>0.38472222222222219</v>
      </c>
      <c r="T11" s="458">
        <v>0.49236111111111108</v>
      </c>
      <c r="U11" s="447">
        <f t="shared" si="14"/>
        <v>4.9999999999999822</v>
      </c>
      <c r="V11" s="449">
        <f t="shared" si="13"/>
        <v>155</v>
      </c>
      <c r="W11" s="25">
        <f>T11</f>
        <v>0.49236111111111108</v>
      </c>
      <c r="X11" s="25">
        <f>S12</f>
        <v>0.53263888888888888</v>
      </c>
      <c r="Y11" s="25"/>
      <c r="Z11" s="25"/>
      <c r="AA11" s="575"/>
      <c r="AB11" s="575"/>
      <c r="AC11" s="459"/>
      <c r="AD11" s="27"/>
      <c r="AE11" s="20">
        <f t="shared" si="8"/>
        <v>-67.741935483870975</v>
      </c>
      <c r="AF11" s="446">
        <f t="shared" si="9"/>
        <v>0.95483870967741935</v>
      </c>
      <c r="AG11" s="573"/>
    </row>
    <row r="12" spans="1:33" ht="15.75" customHeight="1">
      <c r="A12" s="602" t="s">
        <v>2828</v>
      </c>
      <c r="B12" s="454" t="s">
        <v>79</v>
      </c>
      <c r="C12" s="627" t="s">
        <v>1953</v>
      </c>
      <c r="D12" s="628"/>
      <c r="E12" s="454">
        <v>39.46</v>
      </c>
      <c r="F12" s="455">
        <v>2760</v>
      </c>
      <c r="G12" s="447">
        <f t="shared" si="11"/>
        <v>108909.6</v>
      </c>
      <c r="H12" s="456" t="s">
        <v>126</v>
      </c>
      <c r="I12" s="448">
        <v>16</v>
      </c>
      <c r="J12" s="457">
        <v>1500</v>
      </c>
      <c r="K12" s="18">
        <f t="shared" si="1"/>
        <v>93.75</v>
      </c>
      <c r="L12" s="448">
        <v>16</v>
      </c>
      <c r="M12" s="19">
        <f t="shared" si="12"/>
        <v>1439.9999999999991</v>
      </c>
      <c r="N12" s="18">
        <f t="shared" si="3"/>
        <v>89.999999999999943</v>
      </c>
      <c r="O12" s="20">
        <f t="shared" si="4"/>
        <v>0</v>
      </c>
      <c r="P12" s="21">
        <f t="shared" si="5"/>
        <v>-3.7500000000000568</v>
      </c>
      <c r="Q12" s="446">
        <f t="shared" si="6"/>
        <v>0.95999999999999941</v>
      </c>
      <c r="R12" s="573"/>
      <c r="S12" s="458">
        <v>0.53263888888888888</v>
      </c>
      <c r="T12" s="458">
        <v>0.61250000000000004</v>
      </c>
      <c r="U12" s="447">
        <f t="shared" si="14"/>
        <v>58.000000000000036</v>
      </c>
      <c r="V12" s="449">
        <f t="shared" si="13"/>
        <v>115.00000000000007</v>
      </c>
      <c r="W12" s="25"/>
      <c r="X12" s="25"/>
      <c r="Y12" s="25"/>
      <c r="Z12" s="25"/>
      <c r="AA12" s="568"/>
      <c r="AB12" s="569"/>
      <c r="AC12" s="459"/>
      <c r="AD12" s="27"/>
      <c r="AE12" s="20">
        <f t="shared" si="8"/>
        <v>-60.000000000000909</v>
      </c>
      <c r="AF12" s="446">
        <f t="shared" si="9"/>
        <v>0.95999999999999941</v>
      </c>
      <c r="AG12" s="573"/>
    </row>
    <row r="13" spans="1:33" ht="15.75" customHeight="1">
      <c r="A13" s="602" t="s">
        <v>2828</v>
      </c>
      <c r="B13" s="454" t="s">
        <v>79</v>
      </c>
      <c r="C13" s="627" t="s">
        <v>81</v>
      </c>
      <c r="D13" s="628"/>
      <c r="E13" s="454">
        <v>39.799999999999997</v>
      </c>
      <c r="F13" s="455">
        <v>2713</v>
      </c>
      <c r="G13" s="447">
        <f t="shared" si="11"/>
        <v>107977.4</v>
      </c>
      <c r="H13" s="456" t="s">
        <v>126</v>
      </c>
      <c r="I13" s="448">
        <v>17</v>
      </c>
      <c r="J13" s="457">
        <v>1500</v>
      </c>
      <c r="K13" s="18">
        <f t="shared" si="1"/>
        <v>88.235294117647058</v>
      </c>
      <c r="L13" s="448">
        <v>17</v>
      </c>
      <c r="M13" s="19">
        <f t="shared" si="12"/>
        <v>1427.8947368421043</v>
      </c>
      <c r="N13" s="18">
        <f t="shared" si="3"/>
        <v>83.993808049535545</v>
      </c>
      <c r="O13" s="20">
        <f t="shared" si="4"/>
        <v>0</v>
      </c>
      <c r="P13" s="21">
        <f t="shared" si="5"/>
        <v>-4.241486068111513</v>
      </c>
      <c r="Q13" s="446">
        <f t="shared" si="6"/>
        <v>0.95192982456140285</v>
      </c>
      <c r="R13" s="573"/>
      <c r="S13" s="458">
        <v>0.61597222222222225</v>
      </c>
      <c r="T13" s="458">
        <v>0.69513888888888897</v>
      </c>
      <c r="U13" s="447">
        <f t="shared" si="14"/>
        <v>4.9999999999999822</v>
      </c>
      <c r="V13" s="449">
        <f t="shared" si="13"/>
        <v>114.00000000000007</v>
      </c>
      <c r="W13" s="25"/>
      <c r="X13" s="25"/>
      <c r="Y13" s="28"/>
      <c r="Z13" s="28"/>
      <c r="AA13" s="568"/>
      <c r="AB13" s="569"/>
      <c r="AC13" s="459"/>
      <c r="AD13" s="27"/>
      <c r="AE13" s="20">
        <f t="shared" si="8"/>
        <v>-72.105263157895706</v>
      </c>
      <c r="AF13" s="446">
        <f t="shared" si="9"/>
        <v>0.95192982456140285</v>
      </c>
      <c r="AG13" s="573"/>
    </row>
    <row r="14" spans="1:33" ht="16.5" customHeight="1">
      <c r="A14" s="602" t="s">
        <v>2828</v>
      </c>
      <c r="B14" s="454" t="s">
        <v>2827</v>
      </c>
      <c r="C14" s="625"/>
      <c r="D14" s="625"/>
      <c r="E14" s="460"/>
      <c r="F14" s="457"/>
      <c r="G14" s="19"/>
      <c r="H14" s="455"/>
      <c r="I14" s="32">
        <v>17</v>
      </c>
      <c r="J14" s="457">
        <v>1500</v>
      </c>
      <c r="K14" s="18">
        <f t="shared" si="1"/>
        <v>88.235294117647058</v>
      </c>
      <c r="L14" s="32">
        <v>17</v>
      </c>
      <c r="M14" s="19">
        <f>AVERAGE(M9:M13)</f>
        <v>1431.754324658918</v>
      </c>
      <c r="N14" s="18">
        <f t="shared" si="3"/>
        <v>84.220842626995179</v>
      </c>
      <c r="O14" s="20">
        <f t="shared" si="4"/>
        <v>0</v>
      </c>
      <c r="P14" s="21">
        <f t="shared" si="5"/>
        <v>-4.0144514906518793</v>
      </c>
      <c r="Q14" s="446">
        <f t="shared" si="6"/>
        <v>0.95450288310594533</v>
      </c>
      <c r="R14" s="573"/>
      <c r="S14" s="458"/>
      <c r="T14" s="458"/>
      <c r="U14" s="18"/>
      <c r="V14" s="449"/>
      <c r="W14" s="18"/>
      <c r="X14" s="18"/>
      <c r="Y14" s="33">
        <f>SUM(Y9:Y13)</f>
        <v>0</v>
      </c>
      <c r="Z14" s="33">
        <f>SUM(Z9:Z13)</f>
        <v>0</v>
      </c>
      <c r="AA14" s="572"/>
      <c r="AB14" s="572"/>
      <c r="AC14" s="33">
        <v>5</v>
      </c>
      <c r="AD14" s="33">
        <f>SUM(AD9:AD13)</f>
        <v>0</v>
      </c>
      <c r="AE14" s="20">
        <f t="shared" si="8"/>
        <v>-68.245675341082006</v>
      </c>
      <c r="AF14" s="446">
        <f t="shared" si="9"/>
        <v>0.95450288310594533</v>
      </c>
      <c r="AG14" s="573"/>
    </row>
    <row r="15" spans="1:33" ht="16.5" customHeight="1">
      <c r="A15" s="600" t="s">
        <v>2830</v>
      </c>
      <c r="B15" s="455" t="s">
        <v>82</v>
      </c>
      <c r="C15" s="626" t="s">
        <v>83</v>
      </c>
      <c r="D15" s="626"/>
      <c r="E15" s="454">
        <v>41</v>
      </c>
      <c r="F15" s="455">
        <v>1662</v>
      </c>
      <c r="G15" s="447">
        <f t="shared" ref="G15:G19" si="15">E15*F15</f>
        <v>68142</v>
      </c>
      <c r="H15" s="456" t="s">
        <v>126</v>
      </c>
      <c r="I15" s="448">
        <v>26</v>
      </c>
      <c r="J15" s="457">
        <v>1500</v>
      </c>
      <c r="K15" s="18">
        <f t="shared" si="1"/>
        <v>57.692307692307693</v>
      </c>
      <c r="L15" s="448">
        <v>26</v>
      </c>
      <c r="M15" s="19">
        <f t="shared" ref="M15:M19" si="16">F15/V15*60</f>
        <v>1445.2173913043489</v>
      </c>
      <c r="N15" s="18">
        <f t="shared" si="3"/>
        <v>55.585284280936499</v>
      </c>
      <c r="O15" s="20">
        <f t="shared" si="4"/>
        <v>0</v>
      </c>
      <c r="P15" s="21">
        <f t="shared" si="5"/>
        <v>-2.1070234113711948</v>
      </c>
      <c r="Q15" s="446">
        <f t="shared" si="6"/>
        <v>0.96347826086956601</v>
      </c>
      <c r="R15" s="573">
        <f>Q20</f>
        <v>0.95719083358496415</v>
      </c>
      <c r="S15" s="458">
        <v>0.20833333333333334</v>
      </c>
      <c r="T15" s="458">
        <v>0.25624999999999998</v>
      </c>
      <c r="U15" s="447"/>
      <c r="V15" s="449">
        <f t="shared" ref="V15:V19" si="17">(T15-S15)*24*60</f>
        <v>68.999999999999957</v>
      </c>
      <c r="W15" s="30"/>
      <c r="X15" s="30"/>
      <c r="Y15" s="30"/>
      <c r="Z15" s="30"/>
      <c r="AA15" s="575"/>
      <c r="AB15" s="575"/>
      <c r="AC15" s="459">
        <v>5</v>
      </c>
      <c r="AD15" s="27"/>
      <c r="AE15" s="20">
        <f t="shared" si="8"/>
        <v>-54.782608695651106</v>
      </c>
      <c r="AF15" s="446">
        <f t="shared" si="9"/>
        <v>0.96347826086956589</v>
      </c>
      <c r="AG15" s="573">
        <f>AF20</f>
        <v>0.95719083358496415</v>
      </c>
    </row>
    <row r="16" spans="1:33" ht="16.5" customHeight="1">
      <c r="A16" s="601" t="s">
        <v>2830</v>
      </c>
      <c r="B16" s="455" t="s">
        <v>74</v>
      </c>
      <c r="C16" s="626" t="s">
        <v>2623</v>
      </c>
      <c r="D16" s="626"/>
      <c r="E16" s="454">
        <v>37.03</v>
      </c>
      <c r="F16" s="455">
        <v>2263</v>
      </c>
      <c r="G16" s="447">
        <f t="shared" si="15"/>
        <v>83798.89</v>
      </c>
      <c r="H16" s="456" t="s">
        <v>126</v>
      </c>
      <c r="I16" s="448">
        <v>13</v>
      </c>
      <c r="J16" s="457">
        <v>1500</v>
      </c>
      <c r="K16" s="18">
        <f t="shared" si="1"/>
        <v>115.38461538461539</v>
      </c>
      <c r="L16" s="448">
        <v>13</v>
      </c>
      <c r="M16" s="19">
        <f t="shared" si="16"/>
        <v>1429.2631578947371</v>
      </c>
      <c r="N16" s="18">
        <f t="shared" si="3"/>
        <v>109.94331983805669</v>
      </c>
      <c r="O16" s="20">
        <f t="shared" si="4"/>
        <v>0</v>
      </c>
      <c r="P16" s="21">
        <f t="shared" si="5"/>
        <v>-5.4412955465586919</v>
      </c>
      <c r="Q16" s="446">
        <f t="shared" si="6"/>
        <v>0.95284210526315805</v>
      </c>
      <c r="R16" s="573"/>
      <c r="S16" s="458">
        <v>0.26111111111111107</v>
      </c>
      <c r="T16" s="458">
        <v>0.32708333333333328</v>
      </c>
      <c r="U16" s="447">
        <f t="shared" ref="U16:U19" si="18">IF(S16=TIME(17,0,0),"",(S16-T15)*24*60)</f>
        <v>6.9999999999999751</v>
      </c>
      <c r="V16" s="449">
        <f t="shared" si="17"/>
        <v>94.999999999999986</v>
      </c>
      <c r="W16" s="25"/>
      <c r="X16" s="25"/>
      <c r="Y16" s="25"/>
      <c r="Z16" s="25"/>
      <c r="AA16" s="575"/>
      <c r="AB16" s="575"/>
      <c r="AC16" s="459"/>
      <c r="AD16" s="27"/>
      <c r="AE16" s="20">
        <f t="shared" si="8"/>
        <v>-70.736842105262895</v>
      </c>
      <c r="AF16" s="446">
        <f t="shared" si="9"/>
        <v>0.95284210526315805</v>
      </c>
      <c r="AG16" s="573"/>
    </row>
    <row r="17" spans="1:33" ht="16.5" customHeight="1">
      <c r="A17" s="601" t="s">
        <v>2830</v>
      </c>
      <c r="B17" s="455" t="s">
        <v>74</v>
      </c>
      <c r="C17" s="626" t="s">
        <v>85</v>
      </c>
      <c r="D17" s="626"/>
      <c r="E17" s="454">
        <v>53.68</v>
      </c>
      <c r="F17" s="455">
        <v>909</v>
      </c>
      <c r="G17" s="447">
        <f t="shared" si="15"/>
        <v>48795.12</v>
      </c>
      <c r="H17" s="456" t="s">
        <v>126</v>
      </c>
      <c r="I17" s="448">
        <v>16</v>
      </c>
      <c r="J17" s="457">
        <v>1500</v>
      </c>
      <c r="K17" s="18">
        <f t="shared" si="1"/>
        <v>93.75</v>
      </c>
      <c r="L17" s="448">
        <v>16</v>
      </c>
      <c r="M17" s="19">
        <f t="shared" si="16"/>
        <v>1435.2631578947357</v>
      </c>
      <c r="N17" s="18">
        <f t="shared" si="3"/>
        <v>89.703947368420984</v>
      </c>
      <c r="O17" s="20">
        <f t="shared" si="4"/>
        <v>0</v>
      </c>
      <c r="P17" s="21">
        <f t="shared" si="5"/>
        <v>-4.0460526315790162</v>
      </c>
      <c r="Q17" s="446">
        <f t="shared" si="6"/>
        <v>0.95684210526315716</v>
      </c>
      <c r="R17" s="573"/>
      <c r="S17" s="458">
        <v>0.70833333333333337</v>
      </c>
      <c r="T17" s="458">
        <v>0.73472222222222228</v>
      </c>
      <c r="U17" s="447" t="str">
        <f t="shared" si="18"/>
        <v/>
      </c>
      <c r="V17" s="449">
        <f t="shared" si="17"/>
        <v>38.000000000000028</v>
      </c>
      <c r="W17" s="25"/>
      <c r="X17" s="25"/>
      <c r="Y17" s="25"/>
      <c r="Z17" s="25"/>
      <c r="AA17" s="575"/>
      <c r="AB17" s="575"/>
      <c r="AC17" s="459"/>
      <c r="AD17" s="27"/>
      <c r="AE17" s="20">
        <f t="shared" si="8"/>
        <v>-64.736842105264259</v>
      </c>
      <c r="AF17" s="446">
        <f t="shared" si="9"/>
        <v>0.95684210526315716</v>
      </c>
      <c r="AG17" s="573"/>
    </row>
    <row r="18" spans="1:33" ht="16.5" customHeight="1">
      <c r="A18" s="601" t="s">
        <v>2830</v>
      </c>
      <c r="B18" s="455" t="s">
        <v>74</v>
      </c>
      <c r="C18" s="626" t="s">
        <v>78</v>
      </c>
      <c r="D18" s="626"/>
      <c r="E18" s="454">
        <v>52.86</v>
      </c>
      <c r="F18" s="455">
        <v>1183</v>
      </c>
      <c r="G18" s="447">
        <f t="shared" si="15"/>
        <v>62533.38</v>
      </c>
      <c r="H18" s="456" t="s">
        <v>126</v>
      </c>
      <c r="I18" s="448">
        <v>16</v>
      </c>
      <c r="J18" s="457">
        <v>2000</v>
      </c>
      <c r="K18" s="18">
        <f t="shared" si="1"/>
        <v>125</v>
      </c>
      <c r="L18" s="448">
        <v>16</v>
      </c>
      <c r="M18" s="19">
        <f t="shared" si="16"/>
        <v>1918.3783783783767</v>
      </c>
      <c r="N18" s="18">
        <f t="shared" si="3"/>
        <v>119.89864864864855</v>
      </c>
      <c r="O18" s="20">
        <f t="shared" si="4"/>
        <v>0</v>
      </c>
      <c r="P18" s="21">
        <f t="shared" si="5"/>
        <v>-5.1013513513514539</v>
      </c>
      <c r="Q18" s="446">
        <f t="shared" si="6"/>
        <v>0.95918918918918838</v>
      </c>
      <c r="R18" s="573"/>
      <c r="S18" s="458">
        <v>0.74027777777777781</v>
      </c>
      <c r="T18" s="458">
        <v>0.76597222222222228</v>
      </c>
      <c r="U18" s="447">
        <f t="shared" si="18"/>
        <v>7.9999999999999716</v>
      </c>
      <c r="V18" s="449">
        <f t="shared" si="17"/>
        <v>37.000000000000028</v>
      </c>
      <c r="W18" s="25"/>
      <c r="X18" s="25"/>
      <c r="Y18" s="25"/>
      <c r="Z18" s="25"/>
      <c r="AA18" s="575"/>
      <c r="AB18" s="575"/>
      <c r="AC18" s="459"/>
      <c r="AD18" s="27"/>
      <c r="AE18" s="20">
        <f t="shared" si="8"/>
        <v>-81.621621621623262</v>
      </c>
      <c r="AF18" s="446">
        <f t="shared" si="9"/>
        <v>0.95918918918918838</v>
      </c>
      <c r="AG18" s="573"/>
    </row>
    <row r="19" spans="1:33" ht="16.5" customHeight="1">
      <c r="A19" s="601" t="s">
        <v>2830</v>
      </c>
      <c r="B19" s="455" t="s">
        <v>74</v>
      </c>
      <c r="C19" s="626" t="s">
        <v>75</v>
      </c>
      <c r="D19" s="626"/>
      <c r="E19" s="454">
        <v>50.67</v>
      </c>
      <c r="F19" s="455">
        <v>1113</v>
      </c>
      <c r="G19" s="447">
        <f t="shared" si="15"/>
        <v>56395.71</v>
      </c>
      <c r="H19" s="456" t="s">
        <v>126</v>
      </c>
      <c r="I19" s="448">
        <v>17</v>
      </c>
      <c r="J19" s="457">
        <v>2000</v>
      </c>
      <c r="K19" s="18">
        <f t="shared" si="1"/>
        <v>117.64705882352941</v>
      </c>
      <c r="L19" s="448">
        <v>17</v>
      </c>
      <c r="M19" s="19">
        <f t="shared" si="16"/>
        <v>1907.9999999999982</v>
      </c>
      <c r="N19" s="18">
        <f t="shared" si="3"/>
        <v>112.23529411764696</v>
      </c>
      <c r="O19" s="20">
        <f t="shared" si="4"/>
        <v>0</v>
      </c>
      <c r="P19" s="21">
        <f t="shared" si="5"/>
        <v>-5.4117647058824474</v>
      </c>
      <c r="Q19" s="446">
        <f t="shared" si="6"/>
        <v>0.95399999999999918</v>
      </c>
      <c r="R19" s="573"/>
      <c r="S19" s="458">
        <v>0.77152777777777781</v>
      </c>
      <c r="T19" s="458">
        <v>0.79583333333333339</v>
      </c>
      <c r="U19" s="447">
        <f t="shared" si="18"/>
        <v>7.9999999999999716</v>
      </c>
      <c r="V19" s="449">
        <f t="shared" si="17"/>
        <v>35.000000000000036</v>
      </c>
      <c r="W19" s="25"/>
      <c r="X19" s="25"/>
      <c r="Y19" s="25"/>
      <c r="Z19" s="25"/>
      <c r="AA19" s="575"/>
      <c r="AB19" s="575"/>
      <c r="AC19" s="459"/>
      <c r="AD19" s="27"/>
      <c r="AE19" s="20">
        <f t="shared" si="8"/>
        <v>-92.000000000001819</v>
      </c>
      <c r="AF19" s="446">
        <f t="shared" si="9"/>
        <v>0.95399999999999907</v>
      </c>
      <c r="AG19" s="573"/>
    </row>
    <row r="20" spans="1:33" ht="16.5" customHeight="1">
      <c r="A20" s="601" t="s">
        <v>2830</v>
      </c>
      <c r="B20" s="454" t="s">
        <v>2827</v>
      </c>
      <c r="C20" s="625"/>
      <c r="D20" s="625"/>
      <c r="E20" s="460"/>
      <c r="F20" s="461"/>
      <c r="G20" s="18"/>
      <c r="H20" s="455"/>
      <c r="I20" s="32">
        <v>17.600000000000001</v>
      </c>
      <c r="J20" s="457">
        <v>1700</v>
      </c>
      <c r="K20" s="18">
        <f t="shared" si="1"/>
        <v>96.590909090909079</v>
      </c>
      <c r="L20" s="32">
        <v>17.600000000000001</v>
      </c>
      <c r="M20" s="19">
        <f>AVERAGE(M15:M19)</f>
        <v>1627.2244170944391</v>
      </c>
      <c r="N20" s="18">
        <f t="shared" si="3"/>
        <v>92.455932789456753</v>
      </c>
      <c r="O20" s="20">
        <f t="shared" si="4"/>
        <v>0</v>
      </c>
      <c r="P20" s="21">
        <f t="shared" si="5"/>
        <v>-4.1349763014523262</v>
      </c>
      <c r="Q20" s="446">
        <f t="shared" si="6"/>
        <v>0.95719083358496415</v>
      </c>
      <c r="R20" s="573"/>
      <c r="S20" s="458"/>
      <c r="T20" s="458"/>
      <c r="U20" s="447"/>
      <c r="V20" s="449"/>
      <c r="W20" s="18"/>
      <c r="X20" s="18"/>
      <c r="Y20" s="33">
        <f>SUM(Y15:Y19)</f>
        <v>0</v>
      </c>
      <c r="Z20" s="33">
        <f>SUM(Z15:Z19)</f>
        <v>0</v>
      </c>
      <c r="AA20" s="572"/>
      <c r="AB20" s="572"/>
      <c r="AC20" s="33">
        <v>5</v>
      </c>
      <c r="AD20" s="33">
        <f>SUM(AD15:AD19)</f>
        <v>0</v>
      </c>
      <c r="AE20" s="20">
        <f t="shared" si="8"/>
        <v>-72.775582905560896</v>
      </c>
      <c r="AF20" s="446">
        <f t="shared" si="9"/>
        <v>0.95719083358496415</v>
      </c>
      <c r="AG20" s="573"/>
    </row>
    <row r="21" spans="1:33" ht="15.75" customHeight="1">
      <c r="A21" s="596" t="s">
        <v>2831</v>
      </c>
      <c r="B21" s="454" t="s">
        <v>74</v>
      </c>
      <c r="C21" s="626" t="s">
        <v>84</v>
      </c>
      <c r="D21" s="626"/>
      <c r="E21" s="454">
        <v>54.09</v>
      </c>
      <c r="F21" s="455">
        <v>1592</v>
      </c>
      <c r="G21" s="447">
        <f t="shared" ref="G21:G26" si="19">E21*F21</f>
        <v>86111.28</v>
      </c>
      <c r="H21" s="456" t="s">
        <v>126</v>
      </c>
      <c r="I21" s="448">
        <v>17</v>
      </c>
      <c r="J21" s="457">
        <v>1500</v>
      </c>
      <c r="K21" s="18">
        <f t="shared" si="1"/>
        <v>88.235294117647058</v>
      </c>
      <c r="L21" s="448">
        <v>17</v>
      </c>
      <c r="M21" s="19">
        <f t="shared" ref="M21:M26" si="20">F21/V21*60</f>
        <v>1447.2727272727279</v>
      </c>
      <c r="N21" s="18">
        <f t="shared" si="3"/>
        <v>85.133689839572227</v>
      </c>
      <c r="O21" s="20">
        <f t="shared" si="4"/>
        <v>0</v>
      </c>
      <c r="P21" s="21">
        <f t="shared" si="5"/>
        <v>-3.1016042780748307</v>
      </c>
      <c r="Q21" s="446">
        <f t="shared" si="6"/>
        <v>0.96484848484848529</v>
      </c>
      <c r="R21" s="573">
        <f>Q27</f>
        <v>0.95891640262958011</v>
      </c>
      <c r="S21" s="458">
        <v>0.20833333333333334</v>
      </c>
      <c r="T21" s="458">
        <v>0.25416666666666665</v>
      </c>
      <c r="U21" s="447"/>
      <c r="V21" s="449">
        <f t="shared" ref="V21:V26" si="21">(T21-S21)*24*60</f>
        <v>65.999999999999972</v>
      </c>
      <c r="W21" s="30"/>
      <c r="X21" s="30"/>
      <c r="Y21" s="30"/>
      <c r="Z21" s="30"/>
      <c r="AA21" s="575"/>
      <c r="AB21" s="575"/>
      <c r="AC21" s="459">
        <v>6</v>
      </c>
      <c r="AD21" s="27"/>
      <c r="AE21" s="20">
        <f t="shared" si="8"/>
        <v>-52.727272727272066</v>
      </c>
      <c r="AF21" s="446">
        <f t="shared" si="9"/>
        <v>0.96484848484848529</v>
      </c>
      <c r="AG21" s="573">
        <f>AF27</f>
        <v>0.95891640262958022</v>
      </c>
    </row>
    <row r="22" spans="1:33" ht="15.75" customHeight="1">
      <c r="A22" s="597" t="s">
        <v>2831</v>
      </c>
      <c r="B22" s="454" t="s">
        <v>74</v>
      </c>
      <c r="C22" s="626" t="s">
        <v>89</v>
      </c>
      <c r="D22" s="626"/>
      <c r="E22" s="454">
        <v>50.67</v>
      </c>
      <c r="F22" s="455">
        <v>1905</v>
      </c>
      <c r="G22" s="447">
        <f t="shared" si="19"/>
        <v>96526.35</v>
      </c>
      <c r="H22" s="456" t="s">
        <v>126</v>
      </c>
      <c r="I22" s="448">
        <v>17</v>
      </c>
      <c r="J22" s="457">
        <v>2000</v>
      </c>
      <c r="K22" s="18">
        <f t="shared" si="1"/>
        <v>117.64705882352941</v>
      </c>
      <c r="L22" s="448">
        <v>17</v>
      </c>
      <c r="M22" s="19">
        <f t="shared" si="20"/>
        <v>1904.9999999999991</v>
      </c>
      <c r="N22" s="18">
        <f t="shared" si="3"/>
        <v>112.05882352941171</v>
      </c>
      <c r="O22" s="20">
        <f t="shared" si="4"/>
        <v>0</v>
      </c>
      <c r="P22" s="21">
        <f t="shared" si="5"/>
        <v>-5.5882352941176947</v>
      </c>
      <c r="Q22" s="446">
        <f t="shared" si="6"/>
        <v>0.95249999999999957</v>
      </c>
      <c r="R22" s="573"/>
      <c r="S22" s="458">
        <v>0.2583333333333333</v>
      </c>
      <c r="T22" s="458">
        <v>0.3</v>
      </c>
      <c r="U22" s="447">
        <f t="shared" ref="U22:U26" si="22">IF(S22=TIME(17,0,0),"",(S22-T21)*24*60)</f>
        <v>5.9999999999999787</v>
      </c>
      <c r="V22" s="449">
        <f t="shared" si="21"/>
        <v>60.000000000000028</v>
      </c>
      <c r="W22" s="25"/>
      <c r="X22" s="447"/>
      <c r="Y22" s="447"/>
      <c r="Z22" s="447"/>
      <c r="AA22" s="575"/>
      <c r="AB22" s="575"/>
      <c r="AC22" s="459"/>
      <c r="AD22" s="27"/>
      <c r="AE22" s="20">
        <f t="shared" si="8"/>
        <v>-95.000000000000909</v>
      </c>
      <c r="AF22" s="446">
        <f t="shared" si="9"/>
        <v>0.95249999999999957</v>
      </c>
      <c r="AG22" s="573"/>
    </row>
    <row r="23" spans="1:33" ht="15.75" customHeight="1">
      <c r="A23" s="597" t="s">
        <v>2831</v>
      </c>
      <c r="B23" s="454" t="s">
        <v>74</v>
      </c>
      <c r="C23" s="626" t="s">
        <v>90</v>
      </c>
      <c r="D23" s="626"/>
      <c r="E23" s="454">
        <v>57.73</v>
      </c>
      <c r="F23" s="455">
        <v>2039</v>
      </c>
      <c r="G23" s="447">
        <f t="shared" si="19"/>
        <v>117711.46999999999</v>
      </c>
      <c r="H23" s="456" t="s">
        <v>126</v>
      </c>
      <c r="I23" s="448">
        <v>14</v>
      </c>
      <c r="J23" s="457">
        <v>2000</v>
      </c>
      <c r="K23" s="18">
        <f t="shared" si="1"/>
        <v>142.85714285714286</v>
      </c>
      <c r="L23" s="448">
        <v>14</v>
      </c>
      <c r="M23" s="19">
        <f t="shared" si="20"/>
        <v>1911.5624999999995</v>
      </c>
      <c r="N23" s="18">
        <f t="shared" si="3"/>
        <v>136.54017857142853</v>
      </c>
      <c r="O23" s="20">
        <f t="shared" si="4"/>
        <v>0</v>
      </c>
      <c r="P23" s="21">
        <f t="shared" si="5"/>
        <v>-6.3169642857143344</v>
      </c>
      <c r="Q23" s="446">
        <f t="shared" si="6"/>
        <v>0.95578124999999969</v>
      </c>
      <c r="R23" s="573"/>
      <c r="S23" s="458">
        <v>0.3034722222222222</v>
      </c>
      <c r="T23" s="458">
        <v>0.34791666666666665</v>
      </c>
      <c r="U23" s="447">
        <f t="shared" si="22"/>
        <v>4.9999999999999822</v>
      </c>
      <c r="V23" s="449">
        <f t="shared" si="21"/>
        <v>64.000000000000014</v>
      </c>
      <c r="W23" s="25"/>
      <c r="X23" s="447"/>
      <c r="Y23" s="447"/>
      <c r="Z23" s="447"/>
      <c r="AA23" s="575"/>
      <c r="AB23" s="575"/>
      <c r="AC23" s="459"/>
      <c r="AD23" s="27"/>
      <c r="AE23" s="20">
        <f t="shared" si="8"/>
        <v>-88.437500000000455</v>
      </c>
      <c r="AF23" s="446">
        <f t="shared" si="9"/>
        <v>0.9557812499999998</v>
      </c>
      <c r="AG23" s="573"/>
    </row>
    <row r="24" spans="1:33" ht="15.75" customHeight="1">
      <c r="A24" s="597" t="s">
        <v>2831</v>
      </c>
      <c r="B24" s="454" t="s">
        <v>74</v>
      </c>
      <c r="C24" s="626" t="s">
        <v>1232</v>
      </c>
      <c r="D24" s="626"/>
      <c r="E24" s="454">
        <v>53.27</v>
      </c>
      <c r="F24" s="455">
        <v>1980</v>
      </c>
      <c r="G24" s="447">
        <f t="shared" si="19"/>
        <v>105474.6</v>
      </c>
      <c r="H24" s="456" t="s">
        <v>126</v>
      </c>
      <c r="I24" s="448">
        <v>16</v>
      </c>
      <c r="J24" s="457">
        <v>2000</v>
      </c>
      <c r="K24" s="18">
        <f t="shared" si="1"/>
        <v>125</v>
      </c>
      <c r="L24" s="448">
        <v>16</v>
      </c>
      <c r="M24" s="19">
        <f t="shared" si="20"/>
        <v>1916.1290322580637</v>
      </c>
      <c r="N24" s="18">
        <f t="shared" si="3"/>
        <v>119.75806451612898</v>
      </c>
      <c r="O24" s="20">
        <f t="shared" si="4"/>
        <v>0</v>
      </c>
      <c r="P24" s="21">
        <f t="shared" si="5"/>
        <v>-5.2419354838710177</v>
      </c>
      <c r="Q24" s="446">
        <f t="shared" si="6"/>
        <v>0.95806451612903187</v>
      </c>
      <c r="R24" s="573"/>
      <c r="S24" s="458">
        <v>0.35138888888888886</v>
      </c>
      <c r="T24" s="458">
        <v>0.39444444444444443</v>
      </c>
      <c r="U24" s="447">
        <f t="shared" si="22"/>
        <v>4.9999999999999822</v>
      </c>
      <c r="V24" s="449">
        <f t="shared" si="21"/>
        <v>62.000000000000021</v>
      </c>
      <c r="W24" s="25"/>
      <c r="X24" s="447"/>
      <c r="Y24" s="447"/>
      <c r="Z24" s="447"/>
      <c r="AA24" s="575"/>
      <c r="AB24" s="575"/>
      <c r="AC24" s="459"/>
      <c r="AD24" s="27"/>
      <c r="AE24" s="20">
        <f t="shared" si="8"/>
        <v>-83.870967741936283</v>
      </c>
      <c r="AF24" s="446">
        <f t="shared" si="9"/>
        <v>0.95806451612903187</v>
      </c>
      <c r="AG24" s="573"/>
    </row>
    <row r="25" spans="1:33" ht="15.75" customHeight="1">
      <c r="A25" s="597" t="s">
        <v>2831</v>
      </c>
      <c r="B25" s="454" t="s">
        <v>74</v>
      </c>
      <c r="C25" s="626" t="s">
        <v>92</v>
      </c>
      <c r="D25" s="626"/>
      <c r="E25" s="454">
        <v>50.49</v>
      </c>
      <c r="F25" s="455">
        <v>1477</v>
      </c>
      <c r="G25" s="447">
        <f t="shared" si="19"/>
        <v>74573.73</v>
      </c>
      <c r="H25" s="456" t="s">
        <v>126</v>
      </c>
      <c r="I25" s="448">
        <v>15</v>
      </c>
      <c r="J25" s="457">
        <v>2000</v>
      </c>
      <c r="K25" s="18">
        <f t="shared" si="1"/>
        <v>133.33333333333334</v>
      </c>
      <c r="L25" s="448">
        <v>15</v>
      </c>
      <c r="M25" s="19">
        <f t="shared" si="20"/>
        <v>1926.5217391304348</v>
      </c>
      <c r="N25" s="18">
        <f t="shared" si="3"/>
        <v>128.43478260869566</v>
      </c>
      <c r="O25" s="20">
        <f t="shared" si="4"/>
        <v>0</v>
      </c>
      <c r="P25" s="21">
        <f t="shared" si="5"/>
        <v>-4.8985507246376869</v>
      </c>
      <c r="Q25" s="446">
        <f t="shared" si="6"/>
        <v>0.96326086956521739</v>
      </c>
      <c r="R25" s="573"/>
      <c r="S25" s="458">
        <v>0.70833333333333337</v>
      </c>
      <c r="T25" s="458">
        <v>0.74027777777777781</v>
      </c>
      <c r="U25" s="447" t="str">
        <f t="shared" si="22"/>
        <v/>
      </c>
      <c r="V25" s="449">
        <f t="shared" si="21"/>
        <v>46</v>
      </c>
      <c r="W25" s="25"/>
      <c r="X25" s="25"/>
      <c r="Y25" s="447"/>
      <c r="Z25" s="447"/>
      <c r="AA25" s="575"/>
      <c r="AB25" s="575"/>
      <c r="AC25" s="459"/>
      <c r="AD25" s="27"/>
      <c r="AE25" s="20">
        <f t="shared" si="8"/>
        <v>-73.478260869565247</v>
      </c>
      <c r="AF25" s="446">
        <f t="shared" si="9"/>
        <v>0.96326086956521739</v>
      </c>
      <c r="AG25" s="573"/>
    </row>
    <row r="26" spans="1:33" ht="15.75" customHeight="1">
      <c r="A26" s="597" t="s">
        <v>2831</v>
      </c>
      <c r="B26" s="454" t="s">
        <v>74</v>
      </c>
      <c r="C26" s="626" t="s">
        <v>2524</v>
      </c>
      <c r="D26" s="626"/>
      <c r="E26" s="454">
        <v>56.43</v>
      </c>
      <c r="F26" s="455">
        <v>1825</v>
      </c>
      <c r="G26" s="447">
        <f t="shared" si="19"/>
        <v>102984.75</v>
      </c>
      <c r="H26" s="456" t="s">
        <v>126</v>
      </c>
      <c r="I26" s="448">
        <v>13</v>
      </c>
      <c r="J26" s="457">
        <v>2000</v>
      </c>
      <c r="K26" s="18">
        <f t="shared" si="1"/>
        <v>153.84615384615384</v>
      </c>
      <c r="L26" s="448">
        <v>13</v>
      </c>
      <c r="M26" s="19">
        <f t="shared" si="20"/>
        <v>1921.0526315789486</v>
      </c>
      <c r="N26" s="18">
        <f t="shared" si="3"/>
        <v>147.77327935222681</v>
      </c>
      <c r="O26" s="20">
        <f t="shared" si="4"/>
        <v>0</v>
      </c>
      <c r="P26" s="21">
        <f t="shared" si="5"/>
        <v>-6.0728744939270314</v>
      </c>
      <c r="Q26" s="446">
        <f t="shared" si="6"/>
        <v>0.96052631578947434</v>
      </c>
      <c r="R26" s="573"/>
      <c r="S26" s="458">
        <v>0.74375000000000002</v>
      </c>
      <c r="T26" s="458">
        <v>0.78333333333333333</v>
      </c>
      <c r="U26" s="447">
        <f t="shared" si="22"/>
        <v>4.9999999999999822</v>
      </c>
      <c r="V26" s="449">
        <f t="shared" si="21"/>
        <v>56.999999999999957</v>
      </c>
      <c r="W26" s="25"/>
      <c r="X26" s="30"/>
      <c r="Y26" s="30"/>
      <c r="Z26" s="30"/>
      <c r="AA26" s="575"/>
      <c r="AB26" s="575"/>
      <c r="AC26" s="459"/>
      <c r="AD26" s="27"/>
      <c r="AE26" s="20">
        <f t="shared" si="8"/>
        <v>-78.947368421051351</v>
      </c>
      <c r="AF26" s="446">
        <f t="shared" si="9"/>
        <v>0.96052631578947434</v>
      </c>
      <c r="AG26" s="573"/>
    </row>
    <row r="27" spans="1:33" ht="15.75" customHeight="1">
      <c r="A27" s="597" t="s">
        <v>2831</v>
      </c>
      <c r="B27" s="454" t="s">
        <v>2827</v>
      </c>
      <c r="C27" s="625"/>
      <c r="D27" s="625"/>
      <c r="E27" s="460"/>
      <c r="F27" s="455"/>
      <c r="G27" s="447"/>
      <c r="H27" s="455"/>
      <c r="I27" s="32">
        <v>15.333333333333334</v>
      </c>
      <c r="J27" s="457">
        <v>1916.6666666666667</v>
      </c>
      <c r="K27" s="18">
        <f t="shared" si="1"/>
        <v>125</v>
      </c>
      <c r="L27" s="32">
        <v>15.333333333333334</v>
      </c>
      <c r="M27" s="19">
        <f>AVERAGE(M21:M26)</f>
        <v>1837.9231050400288</v>
      </c>
      <c r="N27" s="18">
        <f t="shared" si="3"/>
        <v>119.86455032869752</v>
      </c>
      <c r="O27" s="20">
        <f t="shared" si="4"/>
        <v>0</v>
      </c>
      <c r="P27" s="21">
        <f t="shared" si="5"/>
        <v>-5.1354496713024815</v>
      </c>
      <c r="Q27" s="446">
        <f t="shared" si="6"/>
        <v>0.95891640262958011</v>
      </c>
      <c r="R27" s="573"/>
      <c r="S27" s="458"/>
      <c r="T27" s="458"/>
      <c r="U27" s="18"/>
      <c r="V27" s="449"/>
      <c r="W27" s="18"/>
      <c r="X27" s="18"/>
      <c r="Y27" s="33">
        <f>SUM(Y21:Y26)</f>
        <v>0</v>
      </c>
      <c r="Z27" s="33">
        <f>SUM(Z21:Z26)</f>
        <v>0</v>
      </c>
      <c r="AA27" s="572"/>
      <c r="AB27" s="572"/>
      <c r="AC27" s="33">
        <v>6</v>
      </c>
      <c r="AD27" s="33">
        <f>SUM(AD21:AD26)</f>
        <v>0</v>
      </c>
      <c r="AE27" s="20">
        <f t="shared" si="8"/>
        <v>-78.743561626637984</v>
      </c>
      <c r="AF27" s="446">
        <f t="shared" si="9"/>
        <v>0.95891640262958022</v>
      </c>
      <c r="AG27" s="573"/>
    </row>
    <row r="28" spans="1:33" ht="15.75" customHeight="1">
      <c r="A28" s="595" t="s">
        <v>2832</v>
      </c>
      <c r="B28" s="454" t="s">
        <v>94</v>
      </c>
      <c r="C28" s="626" t="s">
        <v>95</v>
      </c>
      <c r="D28" s="626"/>
      <c r="E28" s="454">
        <v>31.29</v>
      </c>
      <c r="F28" s="455">
        <v>6000</v>
      </c>
      <c r="G28" s="447">
        <f t="shared" ref="G28:G33" si="23">E28*F28</f>
        <v>187740</v>
      </c>
      <c r="H28" s="456">
        <v>2</v>
      </c>
      <c r="I28" s="448">
        <v>18</v>
      </c>
      <c r="J28" s="457">
        <v>2400</v>
      </c>
      <c r="K28" s="18">
        <f t="shared" si="1"/>
        <v>133.33333333333334</v>
      </c>
      <c r="L28" s="448">
        <v>18</v>
      </c>
      <c r="M28" s="19">
        <f t="shared" ref="M28:M33" si="24">F28/V28*60</f>
        <v>2292.993630573249</v>
      </c>
      <c r="N28" s="18">
        <f t="shared" si="3"/>
        <v>127.38853503184717</v>
      </c>
      <c r="O28" s="20">
        <f t="shared" si="4"/>
        <v>0</v>
      </c>
      <c r="P28" s="21">
        <f t="shared" si="5"/>
        <v>-5.9447983014861734</v>
      </c>
      <c r="Q28" s="446">
        <f t="shared" si="6"/>
        <v>0.95541401273885374</v>
      </c>
      <c r="R28" s="573">
        <f>Q34</f>
        <v>0.95696841820735934</v>
      </c>
      <c r="S28" s="458">
        <v>8.3333333333333329E-2</v>
      </c>
      <c r="T28" s="458">
        <v>0.19236111111111109</v>
      </c>
      <c r="U28" s="447"/>
      <c r="V28" s="449">
        <f t="shared" ref="V28:V33" si="25">(T28-S28)*24*60</f>
        <v>156.99999999999997</v>
      </c>
      <c r="W28" s="25">
        <f>T28</f>
        <v>0.19236111111111109</v>
      </c>
      <c r="X28" s="25">
        <f>S29</f>
        <v>0.21111111111111108</v>
      </c>
      <c r="Y28" s="25"/>
      <c r="Z28" s="25"/>
      <c r="AA28" s="575"/>
      <c r="AB28" s="575"/>
      <c r="AC28" s="459">
        <v>6</v>
      </c>
      <c r="AD28" s="27"/>
      <c r="AE28" s="20">
        <f t="shared" si="8"/>
        <v>-107.00636942675101</v>
      </c>
      <c r="AF28" s="446">
        <f t="shared" si="9"/>
        <v>0.95541401273885374</v>
      </c>
      <c r="AG28" s="573">
        <f>AF34</f>
        <v>0.95696841820735945</v>
      </c>
    </row>
    <row r="29" spans="1:33" ht="15.75" customHeight="1">
      <c r="A29" s="595" t="s">
        <v>285</v>
      </c>
      <c r="B29" s="454" t="s">
        <v>94</v>
      </c>
      <c r="C29" s="626" t="s">
        <v>97</v>
      </c>
      <c r="D29" s="626"/>
      <c r="E29" s="454">
        <v>26.37</v>
      </c>
      <c r="F29" s="455">
        <v>6785</v>
      </c>
      <c r="G29" s="447">
        <f t="shared" si="23"/>
        <v>178920.45</v>
      </c>
      <c r="H29" s="456" t="s">
        <v>126</v>
      </c>
      <c r="I29" s="448">
        <v>18</v>
      </c>
      <c r="J29" s="457">
        <v>2400</v>
      </c>
      <c r="K29" s="18">
        <f t="shared" si="1"/>
        <v>133.33333333333334</v>
      </c>
      <c r="L29" s="448">
        <v>18</v>
      </c>
      <c r="M29" s="19">
        <f t="shared" si="24"/>
        <v>2287.0786516853932</v>
      </c>
      <c r="N29" s="18">
        <f t="shared" si="3"/>
        <v>127.05992509363296</v>
      </c>
      <c r="O29" s="20">
        <f t="shared" si="4"/>
        <v>0</v>
      </c>
      <c r="P29" s="21">
        <f t="shared" si="5"/>
        <v>-6.2734082397003874</v>
      </c>
      <c r="Q29" s="446">
        <f t="shared" si="6"/>
        <v>0.95294943820224709</v>
      </c>
      <c r="R29" s="573"/>
      <c r="S29" s="458">
        <v>0.21111111111111108</v>
      </c>
      <c r="T29" s="458">
        <v>0.3347222222222222</v>
      </c>
      <c r="U29" s="447">
        <f t="shared" ref="U29:U33" si="26">(S29-T28)*24*60</f>
        <v>26.999999999999986</v>
      </c>
      <c r="V29" s="449">
        <f t="shared" si="25"/>
        <v>178</v>
      </c>
      <c r="W29" s="25"/>
      <c r="X29" s="25"/>
      <c r="Y29" s="25"/>
      <c r="Z29" s="25"/>
      <c r="AA29" s="575"/>
      <c r="AB29" s="575"/>
      <c r="AC29" s="459"/>
      <c r="AD29" s="27"/>
      <c r="AE29" s="20">
        <f t="shared" si="8"/>
        <v>-112.9213483146068</v>
      </c>
      <c r="AF29" s="446">
        <f t="shared" si="9"/>
        <v>0.9529494382022472</v>
      </c>
      <c r="AG29" s="573"/>
    </row>
    <row r="30" spans="1:33" ht="15.75" customHeight="1">
      <c r="A30" s="595" t="s">
        <v>2832</v>
      </c>
      <c r="B30" s="454" t="s">
        <v>94</v>
      </c>
      <c r="C30" s="626" t="s">
        <v>529</v>
      </c>
      <c r="D30" s="626"/>
      <c r="E30" s="454">
        <v>26.18</v>
      </c>
      <c r="F30" s="455">
        <v>4600</v>
      </c>
      <c r="G30" s="447">
        <f t="shared" si="23"/>
        <v>120428</v>
      </c>
      <c r="H30" s="456">
        <v>2</v>
      </c>
      <c r="I30" s="448">
        <v>18</v>
      </c>
      <c r="J30" s="457">
        <v>2400</v>
      </c>
      <c r="K30" s="18">
        <f t="shared" si="1"/>
        <v>133.33333333333334</v>
      </c>
      <c r="L30" s="448">
        <v>18</v>
      </c>
      <c r="M30" s="19">
        <f t="shared" si="24"/>
        <v>2300.0000000000005</v>
      </c>
      <c r="N30" s="18">
        <f t="shared" si="3"/>
        <v>127.7777777777778</v>
      </c>
      <c r="O30" s="20">
        <f t="shared" si="4"/>
        <v>0</v>
      </c>
      <c r="P30" s="21">
        <f t="shared" si="5"/>
        <v>-5.5555555555555429</v>
      </c>
      <c r="Q30" s="446">
        <f t="shared" si="6"/>
        <v>0.95833333333333348</v>
      </c>
      <c r="R30" s="573"/>
      <c r="S30" s="458">
        <v>0.33819444444444441</v>
      </c>
      <c r="T30" s="458">
        <v>0.42152777777777772</v>
      </c>
      <c r="U30" s="447">
        <f t="shared" si="26"/>
        <v>4.9999999999999822</v>
      </c>
      <c r="V30" s="449">
        <f t="shared" si="25"/>
        <v>119.99999999999997</v>
      </c>
      <c r="W30" s="25"/>
      <c r="X30" s="25"/>
      <c r="Y30" s="25"/>
      <c r="Z30" s="25"/>
      <c r="AA30" s="575"/>
      <c r="AB30" s="575"/>
      <c r="AC30" s="459"/>
      <c r="AD30" s="27"/>
      <c r="AE30" s="20">
        <f t="shared" si="8"/>
        <v>-99.999999999999545</v>
      </c>
      <c r="AF30" s="446">
        <f t="shared" si="9"/>
        <v>0.95833333333333348</v>
      </c>
      <c r="AG30" s="573"/>
    </row>
    <row r="31" spans="1:33" ht="15.75" customHeight="1">
      <c r="A31" s="595" t="s">
        <v>2832</v>
      </c>
      <c r="B31" s="454" t="s">
        <v>94</v>
      </c>
      <c r="C31" s="626" t="s">
        <v>98</v>
      </c>
      <c r="D31" s="626"/>
      <c r="E31" s="454">
        <v>25.99</v>
      </c>
      <c r="F31" s="455">
        <v>4179</v>
      </c>
      <c r="G31" s="447">
        <f t="shared" si="23"/>
        <v>108612.20999999999</v>
      </c>
      <c r="H31" s="456" t="s">
        <v>126</v>
      </c>
      <c r="I31" s="448">
        <v>14</v>
      </c>
      <c r="J31" s="457">
        <v>2400</v>
      </c>
      <c r="K31" s="18">
        <f t="shared" si="1"/>
        <v>171.42857142857142</v>
      </c>
      <c r="L31" s="448">
        <v>14</v>
      </c>
      <c r="M31" s="19">
        <f t="shared" si="24"/>
        <v>2300.3669724770657</v>
      </c>
      <c r="N31" s="18">
        <f t="shared" si="3"/>
        <v>164.31192660550468</v>
      </c>
      <c r="O31" s="20">
        <f t="shared" si="4"/>
        <v>0</v>
      </c>
      <c r="P31" s="21">
        <f t="shared" si="5"/>
        <v>-7.1166448230667356</v>
      </c>
      <c r="Q31" s="446">
        <f t="shared" si="6"/>
        <v>0.95848623853211068</v>
      </c>
      <c r="R31" s="573"/>
      <c r="S31" s="458">
        <v>0.42569444444444438</v>
      </c>
      <c r="T31" s="458">
        <v>0.50138888888888877</v>
      </c>
      <c r="U31" s="447">
        <f t="shared" si="26"/>
        <v>5.9999999999999787</v>
      </c>
      <c r="V31" s="449">
        <f t="shared" si="25"/>
        <v>108.99999999999993</v>
      </c>
      <c r="W31" s="25">
        <f>T31</f>
        <v>0.50138888888888877</v>
      </c>
      <c r="X31" s="25">
        <f>S32</f>
        <v>0.54236111111111096</v>
      </c>
      <c r="Y31" s="25"/>
      <c r="Z31" s="25"/>
      <c r="AA31" s="575"/>
      <c r="AB31" s="575"/>
      <c r="AC31" s="459"/>
      <c r="AD31" s="27"/>
      <c r="AE31" s="20">
        <f t="shared" si="8"/>
        <v>-99.633027522934299</v>
      </c>
      <c r="AF31" s="446">
        <f t="shared" si="9"/>
        <v>0.95848623853211068</v>
      </c>
      <c r="AG31" s="573"/>
    </row>
    <row r="32" spans="1:33" ht="15.75" customHeight="1">
      <c r="A32" s="595" t="s">
        <v>285</v>
      </c>
      <c r="B32" s="454" t="s">
        <v>94</v>
      </c>
      <c r="C32" s="626" t="s">
        <v>95</v>
      </c>
      <c r="D32" s="626"/>
      <c r="E32" s="454">
        <v>31.29</v>
      </c>
      <c r="F32" s="455">
        <v>2672</v>
      </c>
      <c r="G32" s="447">
        <f t="shared" si="23"/>
        <v>83606.880000000005</v>
      </c>
      <c r="H32" s="456" t="s">
        <v>126</v>
      </c>
      <c r="I32" s="448">
        <v>18</v>
      </c>
      <c r="J32" s="457">
        <v>2400</v>
      </c>
      <c r="K32" s="18">
        <f t="shared" si="1"/>
        <v>133.33333333333334</v>
      </c>
      <c r="L32" s="448">
        <v>18</v>
      </c>
      <c r="M32" s="19">
        <f t="shared" si="24"/>
        <v>2290.2857142857119</v>
      </c>
      <c r="N32" s="18">
        <f t="shared" si="3"/>
        <v>127.23809523809511</v>
      </c>
      <c r="O32" s="20">
        <f t="shared" si="4"/>
        <v>0</v>
      </c>
      <c r="P32" s="21">
        <f t="shared" si="5"/>
        <v>-6.0952380952382299</v>
      </c>
      <c r="Q32" s="446">
        <f t="shared" si="6"/>
        <v>0.95428571428571329</v>
      </c>
      <c r="R32" s="573"/>
      <c r="S32" s="458">
        <v>0.54236111111111096</v>
      </c>
      <c r="T32" s="458">
        <v>0.59097222222222212</v>
      </c>
      <c r="U32" s="447">
        <f t="shared" si="26"/>
        <v>58.99999999999995</v>
      </c>
      <c r="V32" s="449">
        <f t="shared" si="25"/>
        <v>70.000000000000071</v>
      </c>
      <c r="W32" s="25"/>
      <c r="X32" s="25"/>
      <c r="Y32" s="25"/>
      <c r="Z32" s="25"/>
      <c r="AA32" s="575"/>
      <c r="AB32" s="575"/>
      <c r="AC32" s="459"/>
      <c r="AD32" s="27"/>
      <c r="AE32" s="20">
        <f t="shared" si="8"/>
        <v>-109.71428571428805</v>
      </c>
      <c r="AF32" s="446">
        <f t="shared" si="9"/>
        <v>0.95428571428571329</v>
      </c>
      <c r="AG32" s="573"/>
    </row>
    <row r="33" spans="1:33" ht="15.75" customHeight="1">
      <c r="A33" s="595" t="s">
        <v>285</v>
      </c>
      <c r="B33" s="454" t="s">
        <v>94</v>
      </c>
      <c r="C33" s="626" t="s">
        <v>529</v>
      </c>
      <c r="D33" s="626"/>
      <c r="E33" s="454">
        <v>26.18</v>
      </c>
      <c r="F33" s="455">
        <v>3041</v>
      </c>
      <c r="G33" s="447">
        <f t="shared" si="23"/>
        <v>79613.38</v>
      </c>
      <c r="H33" s="456" t="s">
        <v>126</v>
      </c>
      <c r="I33" s="448">
        <v>18</v>
      </c>
      <c r="J33" s="457">
        <v>2400</v>
      </c>
      <c r="K33" s="18">
        <f t="shared" si="1"/>
        <v>133.33333333333334</v>
      </c>
      <c r="L33" s="448">
        <v>18</v>
      </c>
      <c r="M33" s="19">
        <f t="shared" si="24"/>
        <v>2309.6202531645554</v>
      </c>
      <c r="N33" s="18">
        <f t="shared" si="3"/>
        <v>128.31223628691976</v>
      </c>
      <c r="O33" s="20">
        <f t="shared" si="4"/>
        <v>0</v>
      </c>
      <c r="P33" s="21">
        <f t="shared" si="5"/>
        <v>-5.0210970464135869</v>
      </c>
      <c r="Q33" s="446">
        <f t="shared" si="6"/>
        <v>0.96234177215189809</v>
      </c>
      <c r="R33" s="573"/>
      <c r="S33" s="458">
        <v>0.59652777777777766</v>
      </c>
      <c r="T33" s="458">
        <v>0.6513888888888888</v>
      </c>
      <c r="U33" s="447">
        <f t="shared" si="26"/>
        <v>7.9999999999999716</v>
      </c>
      <c r="V33" s="449">
        <f t="shared" si="25"/>
        <v>79.000000000000043</v>
      </c>
      <c r="W33" s="25"/>
      <c r="X33" s="25"/>
      <c r="Y33" s="25"/>
      <c r="Z33" s="25"/>
      <c r="AA33" s="575"/>
      <c r="AB33" s="575"/>
      <c r="AC33" s="459"/>
      <c r="AD33" s="27"/>
      <c r="AE33" s="20">
        <f t="shared" si="8"/>
        <v>-90.379746835444621</v>
      </c>
      <c r="AF33" s="446">
        <f t="shared" si="9"/>
        <v>0.96234177215189809</v>
      </c>
      <c r="AG33" s="573"/>
    </row>
    <row r="34" spans="1:33" ht="15.75" customHeight="1">
      <c r="A34" s="595" t="s">
        <v>285</v>
      </c>
      <c r="B34" s="454" t="s">
        <v>278</v>
      </c>
      <c r="C34" s="625"/>
      <c r="D34" s="625"/>
      <c r="E34" s="460"/>
      <c r="F34" s="455"/>
      <c r="G34" s="447"/>
      <c r="H34" s="455"/>
      <c r="I34" s="32">
        <v>17.333333333333332</v>
      </c>
      <c r="J34" s="457">
        <v>2400</v>
      </c>
      <c r="K34" s="18">
        <f t="shared" si="1"/>
        <v>138.46153846153848</v>
      </c>
      <c r="L34" s="32">
        <v>17.333333333333332</v>
      </c>
      <c r="M34" s="19">
        <f>AVERAGE(M28:M33)</f>
        <v>2296.7242036976627</v>
      </c>
      <c r="N34" s="18">
        <f t="shared" si="3"/>
        <v>132.50331944409592</v>
      </c>
      <c r="O34" s="20">
        <f t="shared" si="4"/>
        <v>0</v>
      </c>
      <c r="P34" s="21">
        <f t="shared" si="5"/>
        <v>-5.9582190174425591</v>
      </c>
      <c r="Q34" s="446">
        <f t="shared" si="6"/>
        <v>0.95696841820735934</v>
      </c>
      <c r="R34" s="573"/>
      <c r="S34" s="458"/>
      <c r="T34" s="458"/>
      <c r="U34" s="447"/>
      <c r="V34" s="449"/>
      <c r="W34" s="447"/>
      <c r="X34" s="447"/>
      <c r="Y34" s="33">
        <f>SUM(Y28:Y33)</f>
        <v>0</v>
      </c>
      <c r="Z34" s="33">
        <f>SUM(Z28:Z33)</f>
        <v>0</v>
      </c>
      <c r="AA34" s="572"/>
      <c r="AB34" s="572"/>
      <c r="AC34" s="33">
        <v>6</v>
      </c>
      <c r="AD34" s="33">
        <f>SUM(AD28:AD33)</f>
        <v>0</v>
      </c>
      <c r="AE34" s="20">
        <f t="shared" si="8"/>
        <v>-103.27579630233731</v>
      </c>
      <c r="AF34" s="446">
        <f t="shared" si="9"/>
        <v>0.95696841820735945</v>
      </c>
      <c r="AG34" s="573"/>
    </row>
    <row r="35" spans="1:33" ht="15.75" customHeight="1">
      <c r="A35" s="592" t="s">
        <v>2833</v>
      </c>
      <c r="B35" s="454" t="s">
        <v>94</v>
      </c>
      <c r="C35" s="620" t="s">
        <v>530</v>
      </c>
      <c r="D35" s="620"/>
      <c r="E35" s="454">
        <v>26.18</v>
      </c>
      <c r="F35" s="455">
        <v>3900</v>
      </c>
      <c r="G35" s="447">
        <f t="shared" ref="G35:G42" si="27">E35*F35</f>
        <v>102102</v>
      </c>
      <c r="H35" s="456">
        <v>2</v>
      </c>
      <c r="I35" s="448">
        <v>20</v>
      </c>
      <c r="J35" s="457">
        <v>2400</v>
      </c>
      <c r="K35" s="18">
        <f t="shared" si="1"/>
        <v>120</v>
      </c>
      <c r="L35" s="448">
        <v>20</v>
      </c>
      <c r="M35" s="19">
        <f t="shared" ref="M35:M42" si="28">F35/V35*60</f>
        <v>2294.117647058823</v>
      </c>
      <c r="N35" s="18">
        <f t="shared" si="3"/>
        <v>114.70588235294115</v>
      </c>
      <c r="O35" s="20">
        <f t="shared" si="4"/>
        <v>0</v>
      </c>
      <c r="P35" s="21">
        <f t="shared" si="5"/>
        <v>-5.2941176470588545</v>
      </c>
      <c r="Q35" s="446">
        <f t="shared" si="6"/>
        <v>0.95588235294117618</v>
      </c>
      <c r="R35" s="573">
        <f>Q43</f>
        <v>0.95655558287982501</v>
      </c>
      <c r="S35" s="458">
        <v>8.3333333333333329E-2</v>
      </c>
      <c r="T35" s="458">
        <v>0.15416666666666667</v>
      </c>
      <c r="U35" s="447"/>
      <c r="V35" s="449">
        <f t="shared" ref="V35:V42" si="29">(T35-S35)*24*60</f>
        <v>102.00000000000001</v>
      </c>
      <c r="W35" s="30">
        <f>T35</f>
        <v>0.15416666666666667</v>
      </c>
      <c r="X35" s="30">
        <f>S36</f>
        <v>0.17500000000000002</v>
      </c>
      <c r="Y35" s="30"/>
      <c r="Z35" s="30"/>
      <c r="AA35" s="575"/>
      <c r="AB35" s="575"/>
      <c r="AC35" s="459">
        <v>8</v>
      </c>
      <c r="AD35" s="27"/>
      <c r="AE35" s="20">
        <f t="shared" si="8"/>
        <v>-105.88235294117703</v>
      </c>
      <c r="AF35" s="446">
        <f t="shared" si="9"/>
        <v>0.95588235294117618</v>
      </c>
      <c r="AG35" s="573">
        <f>AF43</f>
        <v>0.95655558287982501</v>
      </c>
    </row>
    <row r="36" spans="1:33" ht="15.75" customHeight="1">
      <c r="A36" s="592" t="s">
        <v>2833</v>
      </c>
      <c r="B36" s="454" t="s">
        <v>94</v>
      </c>
      <c r="C36" s="620" t="s">
        <v>100</v>
      </c>
      <c r="D36" s="620"/>
      <c r="E36" s="454">
        <v>24.43</v>
      </c>
      <c r="F36" s="455">
        <v>4000</v>
      </c>
      <c r="G36" s="447">
        <f t="shared" si="27"/>
        <v>97720</v>
      </c>
      <c r="H36" s="456">
        <v>2</v>
      </c>
      <c r="I36" s="448">
        <v>14</v>
      </c>
      <c r="J36" s="457">
        <v>2400</v>
      </c>
      <c r="K36" s="18">
        <f t="shared" si="1"/>
        <v>171.42857142857142</v>
      </c>
      <c r="L36" s="448">
        <v>14</v>
      </c>
      <c r="M36" s="19">
        <f t="shared" si="28"/>
        <v>2285.7142857142862</v>
      </c>
      <c r="N36" s="18">
        <f t="shared" si="3"/>
        <v>163.265306122449</v>
      </c>
      <c r="O36" s="20">
        <f t="shared" si="4"/>
        <v>0</v>
      </c>
      <c r="P36" s="21">
        <f t="shared" si="5"/>
        <v>-8.1632653061224119</v>
      </c>
      <c r="Q36" s="446">
        <f t="shared" si="6"/>
        <v>0.95238095238095255</v>
      </c>
      <c r="R36" s="573"/>
      <c r="S36" s="458">
        <v>0.17500000000000002</v>
      </c>
      <c r="T36" s="458">
        <v>0.24791666666666667</v>
      </c>
      <c r="U36" s="447">
        <f t="shared" ref="U36:U42" si="30">(S36-T35)*24*60</f>
        <v>30.000000000000014</v>
      </c>
      <c r="V36" s="449">
        <f t="shared" si="29"/>
        <v>104.99999999999999</v>
      </c>
      <c r="W36" s="447"/>
      <c r="X36" s="447"/>
      <c r="Y36" s="447"/>
      <c r="Z36" s="447"/>
      <c r="AA36" s="575"/>
      <c r="AB36" s="575"/>
      <c r="AC36" s="459"/>
      <c r="AD36" s="27"/>
      <c r="AE36" s="20">
        <f t="shared" si="8"/>
        <v>-114.28571428571377</v>
      </c>
      <c r="AF36" s="446">
        <f t="shared" si="9"/>
        <v>0.95238095238095255</v>
      </c>
      <c r="AG36" s="573"/>
    </row>
    <row r="37" spans="1:33">
      <c r="A37" s="593" t="s">
        <v>287</v>
      </c>
      <c r="B37" s="454" t="s">
        <v>94</v>
      </c>
      <c r="C37" s="620" t="s">
        <v>102</v>
      </c>
      <c r="D37" s="620"/>
      <c r="E37" s="454">
        <v>34.1</v>
      </c>
      <c r="F37" s="455">
        <v>4000</v>
      </c>
      <c r="G37" s="447">
        <f t="shared" si="27"/>
        <v>136400</v>
      </c>
      <c r="H37" s="456">
        <v>2</v>
      </c>
      <c r="I37" s="448">
        <v>17</v>
      </c>
      <c r="J37" s="457">
        <v>1600</v>
      </c>
      <c r="K37" s="18">
        <f t="shared" si="1"/>
        <v>94.117647058823536</v>
      </c>
      <c r="L37" s="448">
        <v>17</v>
      </c>
      <c r="M37" s="19">
        <f t="shared" si="28"/>
        <v>1528.6624203821657</v>
      </c>
      <c r="N37" s="18">
        <f t="shared" si="3"/>
        <v>89.92131884600974</v>
      </c>
      <c r="O37" s="20">
        <f t="shared" si="4"/>
        <v>0</v>
      </c>
      <c r="P37" s="21">
        <f t="shared" si="5"/>
        <v>-4.1963282128137962</v>
      </c>
      <c r="Q37" s="446">
        <f t="shared" si="6"/>
        <v>0.9554140127388534</v>
      </c>
      <c r="R37" s="573"/>
      <c r="S37" s="458">
        <v>0.25347222222222221</v>
      </c>
      <c r="T37" s="458">
        <v>0.36249999999999999</v>
      </c>
      <c r="U37" s="447">
        <f t="shared" si="30"/>
        <v>7.9999999999999716</v>
      </c>
      <c r="V37" s="449">
        <f t="shared" si="29"/>
        <v>157</v>
      </c>
      <c r="W37" s="447"/>
      <c r="X37" s="447"/>
      <c r="Y37" s="447"/>
      <c r="Z37" s="447"/>
      <c r="AA37" s="575"/>
      <c r="AB37" s="575"/>
      <c r="AC37" s="459"/>
      <c r="AD37" s="27"/>
      <c r="AE37" s="20">
        <f t="shared" si="8"/>
        <v>-71.337579617834308</v>
      </c>
      <c r="AF37" s="446">
        <f t="shared" si="9"/>
        <v>0.95541401273885351</v>
      </c>
      <c r="AG37" s="573"/>
    </row>
    <row r="38" spans="1:33">
      <c r="A38" s="593" t="s">
        <v>287</v>
      </c>
      <c r="B38" s="454" t="s">
        <v>94</v>
      </c>
      <c r="C38" s="620" t="s">
        <v>101</v>
      </c>
      <c r="D38" s="620"/>
      <c r="E38" s="454">
        <v>25.98</v>
      </c>
      <c r="F38" s="455">
        <v>3235</v>
      </c>
      <c r="G38" s="447">
        <f t="shared" si="27"/>
        <v>84045.3</v>
      </c>
      <c r="H38" s="456" t="s">
        <v>126</v>
      </c>
      <c r="I38" s="448">
        <v>19</v>
      </c>
      <c r="J38" s="457">
        <v>2400</v>
      </c>
      <c r="K38" s="18">
        <f t="shared" si="1"/>
        <v>126.31578947368421</v>
      </c>
      <c r="L38" s="448">
        <v>19</v>
      </c>
      <c r="M38" s="19">
        <f t="shared" si="28"/>
        <v>2283.5294117647059</v>
      </c>
      <c r="N38" s="18">
        <f t="shared" si="3"/>
        <v>120.18575851393189</v>
      </c>
      <c r="O38" s="20">
        <f t="shared" si="4"/>
        <v>0</v>
      </c>
      <c r="P38" s="21">
        <f t="shared" si="5"/>
        <v>-6.1300309597523182</v>
      </c>
      <c r="Q38" s="446">
        <f t="shared" si="6"/>
        <v>0.95147058823529418</v>
      </c>
      <c r="R38" s="573"/>
      <c r="S38" s="458">
        <v>0.36736111111111108</v>
      </c>
      <c r="T38" s="458">
        <v>0.42638888888888887</v>
      </c>
      <c r="U38" s="447">
        <f t="shared" si="30"/>
        <v>6.9999999999999751</v>
      </c>
      <c r="V38" s="449">
        <f t="shared" si="29"/>
        <v>85.000000000000014</v>
      </c>
      <c r="W38" s="25"/>
      <c r="X38" s="25"/>
      <c r="Y38" s="25"/>
      <c r="Z38" s="25"/>
      <c r="AA38" s="575"/>
      <c r="AB38" s="575"/>
      <c r="AC38" s="459"/>
      <c r="AD38" s="27"/>
      <c r="AE38" s="20">
        <f t="shared" si="8"/>
        <v>-116.47058823529414</v>
      </c>
      <c r="AF38" s="446">
        <f t="shared" si="9"/>
        <v>0.95147058823529407</v>
      </c>
      <c r="AG38" s="573"/>
    </row>
    <row r="39" spans="1:33">
      <c r="A39" s="593" t="s">
        <v>287</v>
      </c>
      <c r="B39" s="454" t="s">
        <v>94</v>
      </c>
      <c r="C39" s="620" t="s">
        <v>1231</v>
      </c>
      <c r="D39" s="620"/>
      <c r="E39" s="454">
        <v>25.99</v>
      </c>
      <c r="F39" s="455">
        <v>3381</v>
      </c>
      <c r="G39" s="447">
        <f t="shared" si="27"/>
        <v>87872.189999999988</v>
      </c>
      <c r="H39" s="456" t="s">
        <v>126</v>
      </c>
      <c r="I39" s="448">
        <v>18</v>
      </c>
      <c r="J39" s="457">
        <v>2400</v>
      </c>
      <c r="K39" s="18">
        <f t="shared" si="1"/>
        <v>133.33333333333334</v>
      </c>
      <c r="L39" s="448">
        <v>18</v>
      </c>
      <c r="M39" s="19">
        <f t="shared" si="28"/>
        <v>2305.227272727273</v>
      </c>
      <c r="N39" s="18">
        <f t="shared" si="3"/>
        <v>128.06818181818184</v>
      </c>
      <c r="O39" s="20">
        <f t="shared" si="4"/>
        <v>0</v>
      </c>
      <c r="P39" s="21">
        <f t="shared" si="5"/>
        <v>-5.2651515151515014</v>
      </c>
      <c r="Q39" s="446">
        <f t="shared" si="6"/>
        <v>0.96051136363636369</v>
      </c>
      <c r="R39" s="573"/>
      <c r="S39" s="458">
        <v>0.43124999999999997</v>
      </c>
      <c r="T39" s="458">
        <v>0.49236111111111108</v>
      </c>
      <c r="U39" s="447">
        <f t="shared" si="30"/>
        <v>6.9999999999999751</v>
      </c>
      <c r="V39" s="449">
        <f t="shared" si="29"/>
        <v>88</v>
      </c>
      <c r="W39" s="25">
        <f>T39</f>
        <v>0.49236111111111108</v>
      </c>
      <c r="X39" s="25">
        <f>S40</f>
        <v>0.53124999999999989</v>
      </c>
      <c r="Y39" s="25"/>
      <c r="Z39" s="25"/>
      <c r="AA39" s="575"/>
      <c r="AB39" s="575"/>
      <c r="AC39" s="459"/>
      <c r="AD39" s="27"/>
      <c r="AE39" s="20">
        <f t="shared" si="8"/>
        <v>-94.772727272727025</v>
      </c>
      <c r="AF39" s="446">
        <f t="shared" si="9"/>
        <v>0.96051136363636369</v>
      </c>
      <c r="AG39" s="573"/>
    </row>
    <row r="40" spans="1:33">
      <c r="A40" s="593" t="s">
        <v>2833</v>
      </c>
      <c r="B40" s="454" t="s">
        <v>94</v>
      </c>
      <c r="C40" s="620" t="s">
        <v>102</v>
      </c>
      <c r="D40" s="620"/>
      <c r="E40" s="454">
        <v>34.1</v>
      </c>
      <c r="F40" s="455">
        <v>2763</v>
      </c>
      <c r="G40" s="447">
        <f t="shared" si="27"/>
        <v>94218.3</v>
      </c>
      <c r="H40" s="456" t="s">
        <v>126</v>
      </c>
      <c r="I40" s="448">
        <v>17</v>
      </c>
      <c r="J40" s="457">
        <v>1600</v>
      </c>
      <c r="K40" s="18">
        <f t="shared" si="1"/>
        <v>94.117647058823536</v>
      </c>
      <c r="L40" s="448">
        <v>17</v>
      </c>
      <c r="M40" s="19">
        <f t="shared" si="28"/>
        <v>1535.0000000000007</v>
      </c>
      <c r="N40" s="18">
        <f t="shared" si="3"/>
        <v>90.294117647058869</v>
      </c>
      <c r="O40" s="20">
        <f t="shared" si="4"/>
        <v>0</v>
      </c>
      <c r="P40" s="21">
        <f t="shared" si="5"/>
        <v>-3.8235294117646674</v>
      </c>
      <c r="Q40" s="446">
        <f t="shared" si="6"/>
        <v>0.95937500000000042</v>
      </c>
      <c r="R40" s="573"/>
      <c r="S40" s="458">
        <v>0.53124999999999989</v>
      </c>
      <c r="T40" s="458">
        <v>0.60624999999999984</v>
      </c>
      <c r="U40" s="447">
        <f t="shared" si="30"/>
        <v>55.999999999999879</v>
      </c>
      <c r="V40" s="449">
        <f t="shared" si="29"/>
        <v>107.99999999999994</v>
      </c>
      <c r="W40" s="25"/>
      <c r="X40" s="25"/>
      <c r="Y40" s="25"/>
      <c r="Z40" s="25"/>
      <c r="AA40" s="575"/>
      <c r="AB40" s="575"/>
      <c r="AC40" s="459"/>
      <c r="AD40" s="27"/>
      <c r="AE40" s="20">
        <f t="shared" si="8"/>
        <v>-64.999999999999318</v>
      </c>
      <c r="AF40" s="446">
        <f t="shared" si="9"/>
        <v>0.95937500000000042</v>
      </c>
      <c r="AG40" s="573"/>
    </row>
    <row r="41" spans="1:33">
      <c r="A41" s="593" t="s">
        <v>287</v>
      </c>
      <c r="B41" s="454" t="s">
        <v>94</v>
      </c>
      <c r="C41" s="620" t="s">
        <v>100</v>
      </c>
      <c r="D41" s="620"/>
      <c r="E41" s="454">
        <v>24.43</v>
      </c>
      <c r="F41" s="455">
        <v>2428</v>
      </c>
      <c r="G41" s="447">
        <f t="shared" si="27"/>
        <v>59316.04</v>
      </c>
      <c r="H41" s="456" t="s">
        <v>126</v>
      </c>
      <c r="I41" s="448">
        <v>14</v>
      </c>
      <c r="J41" s="457">
        <v>2400</v>
      </c>
      <c r="K41" s="18">
        <f t="shared" si="1"/>
        <v>171.42857142857142</v>
      </c>
      <c r="L41" s="448">
        <v>14</v>
      </c>
      <c r="M41" s="19">
        <f t="shared" si="28"/>
        <v>2312.380952380955</v>
      </c>
      <c r="N41" s="18">
        <f t="shared" si="3"/>
        <v>165.17006802721107</v>
      </c>
      <c r="O41" s="20">
        <f t="shared" si="4"/>
        <v>0</v>
      </c>
      <c r="P41" s="21">
        <f t="shared" si="5"/>
        <v>-6.2585034013603433</v>
      </c>
      <c r="Q41" s="446">
        <f t="shared" si="6"/>
        <v>0.96349206349206462</v>
      </c>
      <c r="R41" s="573"/>
      <c r="S41" s="458">
        <v>0.61180555555555538</v>
      </c>
      <c r="T41" s="458">
        <v>0.65555555555555534</v>
      </c>
      <c r="U41" s="447">
        <f t="shared" si="30"/>
        <v>7.9999999999999716</v>
      </c>
      <c r="V41" s="449">
        <f t="shared" si="29"/>
        <v>62.999999999999936</v>
      </c>
      <c r="W41" s="25"/>
      <c r="X41" s="25"/>
      <c r="Y41" s="28"/>
      <c r="Z41" s="28"/>
      <c r="AA41" s="568"/>
      <c r="AB41" s="569"/>
      <c r="AC41" s="459"/>
      <c r="AD41" s="27"/>
      <c r="AE41" s="20">
        <f t="shared" si="8"/>
        <v>-87.619047619044977</v>
      </c>
      <c r="AF41" s="446">
        <f t="shared" si="9"/>
        <v>0.96349206349206462</v>
      </c>
      <c r="AG41" s="573"/>
    </row>
    <row r="42" spans="1:33">
      <c r="A42" s="593" t="s">
        <v>287</v>
      </c>
      <c r="B42" s="454" t="s">
        <v>94</v>
      </c>
      <c r="C42" s="620" t="s">
        <v>530</v>
      </c>
      <c r="D42" s="620"/>
      <c r="E42" s="454">
        <v>26.18</v>
      </c>
      <c r="F42" s="455">
        <v>2558</v>
      </c>
      <c r="G42" s="447">
        <f t="shared" si="27"/>
        <v>66968.44</v>
      </c>
      <c r="H42" s="456" t="s">
        <v>126</v>
      </c>
      <c r="I42" s="448">
        <v>20</v>
      </c>
      <c r="J42" s="457">
        <v>2400</v>
      </c>
      <c r="K42" s="18">
        <f t="shared" si="1"/>
        <v>120</v>
      </c>
      <c r="L42" s="448">
        <v>20</v>
      </c>
      <c r="M42" s="19">
        <f t="shared" si="28"/>
        <v>2290.7462686567137</v>
      </c>
      <c r="N42" s="18">
        <f t="shared" si="3"/>
        <v>114.53731343283569</v>
      </c>
      <c r="O42" s="20">
        <f t="shared" si="4"/>
        <v>0</v>
      </c>
      <c r="P42" s="21">
        <f t="shared" si="5"/>
        <v>-5.4626865671643117</v>
      </c>
      <c r="Q42" s="446">
        <f t="shared" si="6"/>
        <v>0.95447761194029745</v>
      </c>
      <c r="R42" s="573"/>
      <c r="S42" s="458">
        <v>0.65972222222222199</v>
      </c>
      <c r="T42" s="458">
        <v>0.70624999999999982</v>
      </c>
      <c r="U42" s="447">
        <f t="shared" si="30"/>
        <v>5.9999999999999787</v>
      </c>
      <c r="V42" s="449">
        <f t="shared" si="29"/>
        <v>67.000000000000085</v>
      </c>
      <c r="W42" s="25"/>
      <c r="X42" s="25"/>
      <c r="Y42" s="28"/>
      <c r="Z42" s="28"/>
      <c r="AA42" s="568"/>
      <c r="AB42" s="569"/>
      <c r="AC42" s="459"/>
      <c r="AD42" s="27"/>
      <c r="AE42" s="20">
        <f t="shared" si="8"/>
        <v>-109.25373134328629</v>
      </c>
      <c r="AF42" s="446">
        <f t="shared" si="9"/>
        <v>0.95447761194029734</v>
      </c>
      <c r="AG42" s="573"/>
    </row>
    <row r="43" spans="1:33">
      <c r="A43" s="593" t="s">
        <v>287</v>
      </c>
      <c r="B43" s="461" t="s">
        <v>278</v>
      </c>
      <c r="C43" s="625"/>
      <c r="D43" s="625"/>
      <c r="E43" s="460"/>
      <c r="F43" s="461"/>
      <c r="G43" s="18"/>
      <c r="H43" s="455"/>
      <c r="I43" s="32">
        <v>17.375</v>
      </c>
      <c r="J43" s="457">
        <v>2200</v>
      </c>
      <c r="K43" s="18">
        <f t="shared" si="1"/>
        <v>126.61870503597122</v>
      </c>
      <c r="L43" s="32">
        <v>17.375</v>
      </c>
      <c r="M43" s="19">
        <f>AVERAGE(M35:M42)</f>
        <v>2104.4222823356149</v>
      </c>
      <c r="N43" s="18">
        <f t="shared" si="3"/>
        <v>121.11782919917208</v>
      </c>
      <c r="O43" s="20">
        <f t="shared" si="4"/>
        <v>0</v>
      </c>
      <c r="P43" s="21">
        <f t="shared" si="5"/>
        <v>-5.5008758367991391</v>
      </c>
      <c r="Q43" s="446">
        <f t="shared" si="6"/>
        <v>0.95655558287982501</v>
      </c>
      <c r="R43" s="573"/>
      <c r="S43" s="458"/>
      <c r="T43" s="458"/>
      <c r="U43" s="18"/>
      <c r="V43" s="449"/>
      <c r="W43" s="18"/>
      <c r="X43" s="18"/>
      <c r="Y43" s="33">
        <f>SUM(Y35:Y42)</f>
        <v>0</v>
      </c>
      <c r="Z43" s="33">
        <f>SUM(Z35:Z42)</f>
        <v>0</v>
      </c>
      <c r="AA43" s="572"/>
      <c r="AB43" s="572"/>
      <c r="AC43" s="33">
        <v>8</v>
      </c>
      <c r="AD43" s="33">
        <f>SUM(AD35:AD42)</f>
        <v>0</v>
      </c>
      <c r="AE43" s="20">
        <f t="shared" si="8"/>
        <v>-95.577717664385091</v>
      </c>
      <c r="AF43" s="446">
        <f t="shared" si="9"/>
        <v>0.95655558287982501</v>
      </c>
      <c r="AG43" s="573"/>
    </row>
    <row r="44" spans="1:33" ht="15.75" customHeight="1">
      <c r="A44" s="589" t="s">
        <v>290</v>
      </c>
      <c r="B44" s="454" t="s">
        <v>104</v>
      </c>
      <c r="C44" s="621" t="s">
        <v>105</v>
      </c>
      <c r="D44" s="622"/>
      <c r="E44" s="454">
        <v>37.880000000000003</v>
      </c>
      <c r="F44" s="455">
        <v>1368</v>
      </c>
      <c r="G44" s="447">
        <f t="shared" ref="G44:G47" si="31">E44*F44</f>
        <v>51819.840000000004</v>
      </c>
      <c r="H44" s="456" t="s">
        <v>126</v>
      </c>
      <c r="I44" s="448">
        <v>13</v>
      </c>
      <c r="J44" s="457">
        <v>2000</v>
      </c>
      <c r="K44" s="18">
        <f t="shared" si="1"/>
        <v>153.84615384615384</v>
      </c>
      <c r="L44" s="448">
        <v>13</v>
      </c>
      <c r="M44" s="19">
        <f t="shared" ref="M44:M47" si="32">F44/V44*60</f>
        <v>1908.8372093023254</v>
      </c>
      <c r="N44" s="19">
        <f t="shared" si="3"/>
        <v>146.83363148479427</v>
      </c>
      <c r="O44" s="20">
        <f t="shared" si="4"/>
        <v>0</v>
      </c>
      <c r="P44" s="21">
        <f t="shared" si="5"/>
        <v>-7.0125223613595722</v>
      </c>
      <c r="Q44" s="446">
        <f t="shared" si="6"/>
        <v>0.95441860465116279</v>
      </c>
      <c r="R44" s="584">
        <f>Q48</f>
        <v>0.95280648333675966</v>
      </c>
      <c r="S44" s="458">
        <v>8.3333333333333329E-2</v>
      </c>
      <c r="T44" s="458">
        <v>0.11319444444444444</v>
      </c>
      <c r="U44" s="30"/>
      <c r="V44" s="449">
        <f t="shared" ref="V44:V47" si="33">(T44-S44)*24*60</f>
        <v>43.000000000000007</v>
      </c>
      <c r="W44" s="25">
        <f>T44</f>
        <v>0.11319444444444444</v>
      </c>
      <c r="X44" s="25">
        <f>S45</f>
        <v>0.13194444444444445</v>
      </c>
      <c r="Y44" s="28"/>
      <c r="Z44" s="28"/>
      <c r="AA44" s="568"/>
      <c r="AB44" s="569"/>
      <c r="AC44" s="459">
        <v>4</v>
      </c>
      <c r="AD44" s="27"/>
      <c r="AE44" s="20">
        <f t="shared" si="8"/>
        <v>-91.162790697674609</v>
      </c>
      <c r="AF44" s="446">
        <f t="shared" si="9"/>
        <v>0.95441860465116268</v>
      </c>
      <c r="AG44" s="584">
        <f>AF48</f>
        <v>0.95280648333675977</v>
      </c>
    </row>
    <row r="45" spans="1:33" ht="15.75" customHeight="1">
      <c r="A45" s="590" t="s">
        <v>290</v>
      </c>
      <c r="B45" s="454" t="s">
        <v>104</v>
      </c>
      <c r="C45" s="621" t="s">
        <v>106</v>
      </c>
      <c r="D45" s="622"/>
      <c r="E45" s="454">
        <v>35.119999999999997</v>
      </c>
      <c r="F45" s="455">
        <v>4953</v>
      </c>
      <c r="G45" s="447">
        <f t="shared" si="31"/>
        <v>173949.36</v>
      </c>
      <c r="H45" s="456" t="s">
        <v>126</v>
      </c>
      <c r="I45" s="448">
        <v>10</v>
      </c>
      <c r="J45" s="457">
        <v>3000</v>
      </c>
      <c r="K45" s="18">
        <f t="shared" si="1"/>
        <v>300</v>
      </c>
      <c r="L45" s="448">
        <v>10</v>
      </c>
      <c r="M45" s="19">
        <f t="shared" si="32"/>
        <v>2857.5000000000005</v>
      </c>
      <c r="N45" s="19">
        <f t="shared" si="3"/>
        <v>285.75000000000006</v>
      </c>
      <c r="O45" s="20">
        <f t="shared" si="4"/>
        <v>0</v>
      </c>
      <c r="P45" s="21">
        <f t="shared" si="5"/>
        <v>-14.249999999999943</v>
      </c>
      <c r="Q45" s="446">
        <f t="shared" si="6"/>
        <v>0.95250000000000024</v>
      </c>
      <c r="R45" s="585"/>
      <c r="S45" s="458">
        <v>0.13194444444444445</v>
      </c>
      <c r="T45" s="458">
        <v>0.20416666666666666</v>
      </c>
      <c r="U45" s="447">
        <f t="shared" ref="U45:U47" si="34">(S45-T44)*24*60</f>
        <v>27.000000000000004</v>
      </c>
      <c r="V45" s="449">
        <f t="shared" si="33"/>
        <v>103.99999999999999</v>
      </c>
      <c r="W45" s="25"/>
      <c r="X45" s="25"/>
      <c r="Y45" s="28"/>
      <c r="Z45" s="28"/>
      <c r="AA45" s="568"/>
      <c r="AB45" s="569"/>
      <c r="AC45" s="459"/>
      <c r="AD45" s="27"/>
      <c r="AE45" s="20">
        <f t="shared" si="8"/>
        <v>-142.49999999999955</v>
      </c>
      <c r="AF45" s="446">
        <f t="shared" si="9"/>
        <v>0.95250000000000012</v>
      </c>
      <c r="AG45" s="585"/>
    </row>
    <row r="46" spans="1:33" ht="15.75" customHeight="1">
      <c r="A46" s="590" t="s">
        <v>290</v>
      </c>
      <c r="B46" s="454" t="s">
        <v>104</v>
      </c>
      <c r="C46" s="621" t="s">
        <v>107</v>
      </c>
      <c r="D46" s="622"/>
      <c r="E46" s="454">
        <v>21.13</v>
      </c>
      <c r="F46" s="455">
        <v>5046</v>
      </c>
      <c r="G46" s="447">
        <f t="shared" si="31"/>
        <v>106621.98</v>
      </c>
      <c r="H46" s="456" t="s">
        <v>126</v>
      </c>
      <c r="I46" s="448">
        <v>10</v>
      </c>
      <c r="J46" s="457">
        <v>3000</v>
      </c>
      <c r="K46" s="18">
        <f t="shared" si="1"/>
        <v>300</v>
      </c>
      <c r="L46" s="448">
        <v>10</v>
      </c>
      <c r="M46" s="19">
        <f t="shared" si="32"/>
        <v>2856.2264150943402</v>
      </c>
      <c r="N46" s="19">
        <f t="shared" si="3"/>
        <v>285.622641509434</v>
      </c>
      <c r="O46" s="20">
        <f t="shared" si="4"/>
        <v>0</v>
      </c>
      <c r="P46" s="21">
        <f t="shared" si="5"/>
        <v>-14.377358490565996</v>
      </c>
      <c r="Q46" s="446">
        <f t="shared" si="6"/>
        <v>0.95207547169811335</v>
      </c>
      <c r="R46" s="585"/>
      <c r="S46" s="458">
        <v>0.20902777777777778</v>
      </c>
      <c r="T46" s="458">
        <v>0.28263888888888888</v>
      </c>
      <c r="U46" s="447">
        <f t="shared" si="34"/>
        <v>7.0000000000000151</v>
      </c>
      <c r="V46" s="449">
        <f t="shared" si="33"/>
        <v>105.99999999999999</v>
      </c>
      <c r="W46" s="25"/>
      <c r="X46" s="25"/>
      <c r="Y46" s="28"/>
      <c r="Z46" s="28"/>
      <c r="AA46" s="568"/>
      <c r="AB46" s="569"/>
      <c r="AC46" s="459"/>
      <c r="AD46" s="27"/>
      <c r="AE46" s="20">
        <f t="shared" si="8"/>
        <v>-143.77358490565985</v>
      </c>
      <c r="AF46" s="446">
        <f t="shared" si="9"/>
        <v>0.95207547169811335</v>
      </c>
      <c r="AG46" s="585"/>
    </row>
    <row r="47" spans="1:33" ht="15.75" customHeight="1">
      <c r="A47" s="590" t="s">
        <v>290</v>
      </c>
      <c r="B47" s="454" t="s">
        <v>104</v>
      </c>
      <c r="C47" s="621" t="s">
        <v>108</v>
      </c>
      <c r="D47" s="622"/>
      <c r="E47" s="454">
        <v>27.17</v>
      </c>
      <c r="F47" s="455">
        <v>6193</v>
      </c>
      <c r="G47" s="447">
        <f t="shared" si="31"/>
        <v>168263.81</v>
      </c>
      <c r="H47" s="456" t="s">
        <v>126</v>
      </c>
      <c r="I47" s="448">
        <v>10</v>
      </c>
      <c r="J47" s="457">
        <v>3000</v>
      </c>
      <c r="K47" s="18">
        <f t="shared" si="1"/>
        <v>300</v>
      </c>
      <c r="L47" s="448">
        <v>10</v>
      </c>
      <c r="M47" s="19">
        <f t="shared" si="32"/>
        <v>2858.3076923076915</v>
      </c>
      <c r="N47" s="19">
        <f t="shared" si="3"/>
        <v>285.83076923076914</v>
      </c>
      <c r="O47" s="20">
        <f t="shared" si="4"/>
        <v>0</v>
      </c>
      <c r="P47" s="21">
        <f t="shared" si="5"/>
        <v>-14.169230769230865</v>
      </c>
      <c r="Q47" s="446">
        <f t="shared" si="6"/>
        <v>0.95276923076923048</v>
      </c>
      <c r="R47" s="585"/>
      <c r="S47" s="458">
        <v>0.28819444444444442</v>
      </c>
      <c r="T47" s="458">
        <v>0.37847222222222221</v>
      </c>
      <c r="U47" s="447">
        <f t="shared" si="34"/>
        <v>7.9999999999999716</v>
      </c>
      <c r="V47" s="449">
        <f t="shared" si="33"/>
        <v>130.00000000000003</v>
      </c>
      <c r="W47" s="25"/>
      <c r="X47" s="25"/>
      <c r="Y47" s="28"/>
      <c r="Z47" s="28"/>
      <c r="AA47" s="568"/>
      <c r="AB47" s="569"/>
      <c r="AC47" s="459"/>
      <c r="AD47" s="27"/>
      <c r="AE47" s="20">
        <f t="shared" si="8"/>
        <v>-141.69230769230853</v>
      </c>
      <c r="AF47" s="446">
        <f t="shared" si="9"/>
        <v>0.95276923076923048</v>
      </c>
      <c r="AG47" s="585"/>
    </row>
    <row r="48" spans="1:33" ht="15.75" customHeight="1">
      <c r="A48" s="591" t="s">
        <v>290</v>
      </c>
      <c r="B48" s="454" t="s">
        <v>278</v>
      </c>
      <c r="C48" s="623"/>
      <c r="D48" s="624"/>
      <c r="E48" s="462"/>
      <c r="F48" s="455"/>
      <c r="G48" s="447"/>
      <c r="H48" s="455"/>
      <c r="I48" s="32">
        <v>10.75</v>
      </c>
      <c r="J48" s="457">
        <v>2750</v>
      </c>
      <c r="K48" s="18">
        <f t="shared" si="1"/>
        <v>255.81395348837211</v>
      </c>
      <c r="L48" s="32">
        <v>10.75</v>
      </c>
      <c r="M48" s="19">
        <f>AVERAGE(M44:M47)</f>
        <v>2620.2178291760893</v>
      </c>
      <c r="N48" s="18">
        <f t="shared" si="3"/>
        <v>243.74119341172923</v>
      </c>
      <c r="O48" s="20">
        <f t="shared" si="4"/>
        <v>0</v>
      </c>
      <c r="P48" s="21">
        <f t="shared" si="5"/>
        <v>-12.072760076642879</v>
      </c>
      <c r="Q48" s="446">
        <f t="shared" si="6"/>
        <v>0.95280648333675966</v>
      </c>
      <c r="R48" s="586"/>
      <c r="S48" s="458"/>
      <c r="T48" s="458"/>
      <c r="U48" s="447"/>
      <c r="V48" s="449"/>
      <c r="W48" s="25"/>
      <c r="X48" s="25"/>
      <c r="Y48" s="33">
        <f>SUM(Y44:Y47)</f>
        <v>0</v>
      </c>
      <c r="Z48" s="33">
        <f>SUM(Z44:Z47)</f>
        <v>0</v>
      </c>
      <c r="AA48" s="587"/>
      <c r="AB48" s="588"/>
      <c r="AC48" s="33">
        <v>4</v>
      </c>
      <c r="AD48" s="33">
        <f>SUM(AD44:AD47)</f>
        <v>0</v>
      </c>
      <c r="AE48" s="20">
        <f t="shared" si="8"/>
        <v>-129.78217082391075</v>
      </c>
      <c r="AF48" s="446">
        <f t="shared" si="9"/>
        <v>0.95280648333675977</v>
      </c>
      <c r="AG48" s="586"/>
    </row>
    <row r="49" spans="1:33" ht="15.75" customHeight="1">
      <c r="A49" s="582" t="s">
        <v>291</v>
      </c>
      <c r="B49" s="454" t="s">
        <v>79</v>
      </c>
      <c r="C49" s="620" t="s">
        <v>109</v>
      </c>
      <c r="D49" s="620"/>
      <c r="E49" s="454">
        <v>46</v>
      </c>
      <c r="F49" s="463">
        <v>2367</v>
      </c>
      <c r="G49" s="447">
        <f t="shared" ref="G49:G55" si="35">E49*F49</f>
        <v>108882</v>
      </c>
      <c r="H49" s="456" t="s">
        <v>126</v>
      </c>
      <c r="I49" s="448">
        <v>16</v>
      </c>
      <c r="J49" s="457">
        <v>2000</v>
      </c>
      <c r="K49" s="18">
        <f t="shared" si="1"/>
        <v>125</v>
      </c>
      <c r="L49" s="448">
        <v>16</v>
      </c>
      <c r="M49" s="19">
        <f t="shared" ref="M49" si="36">F49/V49*60</f>
        <v>1919.1891891891889</v>
      </c>
      <c r="N49" s="19">
        <f t="shared" si="3"/>
        <v>119.94932432432431</v>
      </c>
      <c r="O49" s="20">
        <f t="shared" si="4"/>
        <v>0</v>
      </c>
      <c r="P49" s="21">
        <f t="shared" si="5"/>
        <v>-5.0506756756756914</v>
      </c>
      <c r="Q49" s="446">
        <f t="shared" si="6"/>
        <v>0.95959459459459451</v>
      </c>
      <c r="R49" s="573">
        <f>Q56</f>
        <v>0.96406821560801836</v>
      </c>
      <c r="S49" s="458">
        <v>0.20833333333333334</v>
      </c>
      <c r="T49" s="458">
        <v>0.25972222222222224</v>
      </c>
      <c r="U49" s="30"/>
      <c r="V49" s="449">
        <f t="shared" ref="V49:V55" si="37">(T49-S49)*24*60</f>
        <v>74.000000000000014</v>
      </c>
      <c r="W49" s="30"/>
      <c r="X49" s="30"/>
      <c r="Y49" s="30"/>
      <c r="Z49" s="30"/>
      <c r="AA49" s="575"/>
      <c r="AB49" s="575"/>
      <c r="AC49" s="459">
        <v>7</v>
      </c>
      <c r="AD49" s="27"/>
      <c r="AE49" s="20">
        <f t="shared" si="8"/>
        <v>-80.810810810811063</v>
      </c>
      <c r="AF49" s="446">
        <f t="shared" si="9"/>
        <v>0.95959459459459451</v>
      </c>
      <c r="AG49" s="573">
        <f>AF56</f>
        <v>0.96406821560801825</v>
      </c>
    </row>
    <row r="50" spans="1:33" ht="15.75" customHeight="1">
      <c r="A50" s="582" t="s">
        <v>291</v>
      </c>
      <c r="B50" s="454" t="s">
        <v>79</v>
      </c>
      <c r="C50" s="620" t="s">
        <v>1233</v>
      </c>
      <c r="D50" s="620"/>
      <c r="E50" s="454">
        <v>46</v>
      </c>
      <c r="F50" s="463">
        <v>3625</v>
      </c>
      <c r="G50" s="447">
        <f t="shared" si="35"/>
        <v>166750</v>
      </c>
      <c r="H50" s="456" t="s">
        <v>126</v>
      </c>
      <c r="I50" s="448">
        <v>16</v>
      </c>
      <c r="J50" s="457">
        <v>2000</v>
      </c>
      <c r="K50" s="18">
        <f t="shared" si="1"/>
        <v>125</v>
      </c>
      <c r="L50" s="448">
        <v>16</v>
      </c>
      <c r="M50" s="19">
        <f>F50/V50*60</f>
        <v>1907.8947368421054</v>
      </c>
      <c r="N50" s="19">
        <f t="shared" si="3"/>
        <v>119.24342105263159</v>
      </c>
      <c r="O50" s="20">
        <f t="shared" si="4"/>
        <v>0</v>
      </c>
      <c r="P50" s="21">
        <f t="shared" si="5"/>
        <v>-5.7565789473684106</v>
      </c>
      <c r="Q50" s="446">
        <f t="shared" si="6"/>
        <v>0.95394736842105277</v>
      </c>
      <c r="R50" s="573"/>
      <c r="S50" s="458">
        <v>0.26458333333333334</v>
      </c>
      <c r="T50" s="458">
        <v>0.34375</v>
      </c>
      <c r="U50" s="447">
        <f t="shared" ref="U50:U55" si="38">IF(S50=TIME(17,0,0),"",(S50-T49)*24*60)</f>
        <v>6.9999999999999751</v>
      </c>
      <c r="V50" s="449">
        <f t="shared" si="37"/>
        <v>114</v>
      </c>
      <c r="W50" s="25"/>
      <c r="X50" s="25"/>
      <c r="Y50" s="25"/>
      <c r="Z50" s="25"/>
      <c r="AA50" s="575"/>
      <c r="AB50" s="575"/>
      <c r="AC50" s="459"/>
      <c r="AD50" s="27"/>
      <c r="AE50" s="20">
        <f t="shared" si="8"/>
        <v>-92.105263157894569</v>
      </c>
      <c r="AF50" s="446">
        <f t="shared" si="9"/>
        <v>0.95394736842105277</v>
      </c>
      <c r="AG50" s="573"/>
    </row>
    <row r="51" spans="1:33" ht="15.75" customHeight="1">
      <c r="A51" s="582" t="s">
        <v>2834</v>
      </c>
      <c r="B51" s="454" t="s">
        <v>74</v>
      </c>
      <c r="C51" s="621" t="s">
        <v>111</v>
      </c>
      <c r="D51" s="622"/>
      <c r="E51" s="454">
        <v>51.75</v>
      </c>
      <c r="F51" s="463">
        <v>755</v>
      </c>
      <c r="G51" s="447">
        <f t="shared" si="35"/>
        <v>39071.25</v>
      </c>
      <c r="H51" s="456" t="s">
        <v>126</v>
      </c>
      <c r="I51" s="448">
        <v>25</v>
      </c>
      <c r="J51" s="457">
        <v>2000</v>
      </c>
      <c r="K51" s="18">
        <f t="shared" si="1"/>
        <v>80</v>
      </c>
      <c r="L51" s="448">
        <v>25</v>
      </c>
      <c r="M51" s="19">
        <f t="shared" ref="M51:M55" si="39">F51/V51*60</f>
        <v>1969.5652173913045</v>
      </c>
      <c r="N51" s="19">
        <f t="shared" si="3"/>
        <v>78.782608695652186</v>
      </c>
      <c r="O51" s="20">
        <f t="shared" si="4"/>
        <v>0</v>
      </c>
      <c r="P51" s="21">
        <f t="shared" si="5"/>
        <v>-1.2173913043478137</v>
      </c>
      <c r="Q51" s="446">
        <f t="shared" si="6"/>
        <v>0.98478260869565237</v>
      </c>
      <c r="R51" s="573"/>
      <c r="S51" s="458">
        <v>0.34861111111111109</v>
      </c>
      <c r="T51" s="458">
        <v>0.36458333333333331</v>
      </c>
      <c r="U51" s="447">
        <f t="shared" si="38"/>
        <v>6.9999999999999751</v>
      </c>
      <c r="V51" s="449">
        <f t="shared" si="37"/>
        <v>23</v>
      </c>
      <c r="W51" s="25"/>
      <c r="X51" s="25"/>
      <c r="Y51" s="28"/>
      <c r="Z51" s="28"/>
      <c r="AA51" s="575"/>
      <c r="AB51" s="575"/>
      <c r="AC51" s="459"/>
      <c r="AD51" s="27"/>
      <c r="AE51" s="20">
        <f t="shared" si="8"/>
        <v>-30.434782608695514</v>
      </c>
      <c r="AF51" s="446">
        <f t="shared" si="9"/>
        <v>0.98478260869565226</v>
      </c>
      <c r="AG51" s="573"/>
    </row>
    <row r="52" spans="1:33" ht="15.75" customHeight="1">
      <c r="A52" s="582" t="s">
        <v>291</v>
      </c>
      <c r="B52" s="454" t="s">
        <v>74</v>
      </c>
      <c r="C52" s="464" t="s">
        <v>110</v>
      </c>
      <c r="D52" s="465"/>
      <c r="E52" s="454">
        <v>56.43</v>
      </c>
      <c r="F52" s="463">
        <v>1416</v>
      </c>
      <c r="G52" s="447">
        <f t="shared" si="35"/>
        <v>79904.88</v>
      </c>
      <c r="H52" s="456" t="s">
        <v>126</v>
      </c>
      <c r="I52" s="448">
        <v>22</v>
      </c>
      <c r="J52" s="457">
        <v>2000</v>
      </c>
      <c r="K52" s="18">
        <f t="shared" si="1"/>
        <v>90.909090909090907</v>
      </c>
      <c r="L52" s="448">
        <v>22</v>
      </c>
      <c r="M52" s="19">
        <f t="shared" si="39"/>
        <v>1930.9090909090908</v>
      </c>
      <c r="N52" s="19">
        <f t="shared" si="3"/>
        <v>87.768595041322314</v>
      </c>
      <c r="O52" s="20">
        <f t="shared" si="4"/>
        <v>0</v>
      </c>
      <c r="P52" s="21">
        <f t="shared" si="5"/>
        <v>-3.1404958677685926</v>
      </c>
      <c r="Q52" s="446">
        <f t="shared" si="6"/>
        <v>0.96545454545454545</v>
      </c>
      <c r="R52" s="573"/>
      <c r="S52" s="458">
        <v>0.36805555555555552</v>
      </c>
      <c r="T52" s="458">
        <v>0.39861111111111108</v>
      </c>
      <c r="U52" s="447">
        <f t="shared" si="38"/>
        <v>4.9999999999999822</v>
      </c>
      <c r="V52" s="449">
        <f t="shared" si="37"/>
        <v>44</v>
      </c>
      <c r="W52" s="25"/>
      <c r="X52" s="25"/>
      <c r="Y52" s="28"/>
      <c r="Z52" s="28"/>
      <c r="AA52" s="575"/>
      <c r="AB52" s="575"/>
      <c r="AC52" s="459"/>
      <c r="AD52" s="27"/>
      <c r="AE52" s="20">
        <f t="shared" si="8"/>
        <v>-69.090909090909236</v>
      </c>
      <c r="AF52" s="446">
        <f t="shared" si="9"/>
        <v>0.96545454545454534</v>
      </c>
      <c r="AG52" s="573"/>
    </row>
    <row r="53" spans="1:33" ht="15.75" customHeight="1">
      <c r="A53" s="582" t="s">
        <v>291</v>
      </c>
      <c r="B53" s="454" t="s">
        <v>74</v>
      </c>
      <c r="C53" s="464" t="s">
        <v>88</v>
      </c>
      <c r="D53" s="465"/>
      <c r="E53" s="454">
        <v>59.04</v>
      </c>
      <c r="F53" s="463">
        <v>3257</v>
      </c>
      <c r="G53" s="447">
        <f t="shared" si="35"/>
        <v>192293.28</v>
      </c>
      <c r="H53" s="456" t="s">
        <v>126</v>
      </c>
      <c r="I53" s="448">
        <v>19</v>
      </c>
      <c r="J53" s="457">
        <v>2000</v>
      </c>
      <c r="K53" s="18">
        <f t="shared" si="1"/>
        <v>105.26315789473684</v>
      </c>
      <c r="L53" s="448">
        <v>19</v>
      </c>
      <c r="M53" s="19">
        <f t="shared" si="39"/>
        <v>1915.8823529411757</v>
      </c>
      <c r="N53" s="19">
        <f t="shared" si="3"/>
        <v>100.83591331269345</v>
      </c>
      <c r="O53" s="20">
        <f t="shared" si="4"/>
        <v>0</v>
      </c>
      <c r="P53" s="21">
        <f t="shared" si="5"/>
        <v>-4.4272445820433859</v>
      </c>
      <c r="Q53" s="446">
        <f t="shared" si="6"/>
        <v>0.95794117647058785</v>
      </c>
      <c r="R53" s="573"/>
      <c r="S53" s="458">
        <v>0.40208333333333329</v>
      </c>
      <c r="T53" s="458">
        <v>0.47291666666666665</v>
      </c>
      <c r="U53" s="447">
        <f t="shared" si="38"/>
        <v>4.9999999999999822</v>
      </c>
      <c r="V53" s="449">
        <f t="shared" si="37"/>
        <v>102.00000000000004</v>
      </c>
      <c r="W53" s="25"/>
      <c r="X53" s="25"/>
      <c r="Y53" s="28"/>
      <c r="Z53" s="28"/>
      <c r="AA53" s="575"/>
      <c r="AB53" s="575"/>
      <c r="AC53" s="459"/>
      <c r="AD53" s="27"/>
      <c r="AE53" s="20">
        <f t="shared" si="8"/>
        <v>-84.117647058824332</v>
      </c>
      <c r="AF53" s="446">
        <f t="shared" si="9"/>
        <v>0.95794117647058785</v>
      </c>
      <c r="AG53" s="573"/>
    </row>
    <row r="54" spans="1:33" ht="15.75" customHeight="1">
      <c r="A54" s="582" t="s">
        <v>2834</v>
      </c>
      <c r="B54" s="454" t="s">
        <v>74</v>
      </c>
      <c r="C54" s="621" t="s">
        <v>113</v>
      </c>
      <c r="D54" s="622"/>
      <c r="E54" s="454">
        <v>55.56</v>
      </c>
      <c r="F54" s="463">
        <v>1835</v>
      </c>
      <c r="G54" s="447">
        <f t="shared" si="35"/>
        <v>101952.6</v>
      </c>
      <c r="H54" s="456" t="s">
        <v>126</v>
      </c>
      <c r="I54" s="448">
        <v>17</v>
      </c>
      <c r="J54" s="457">
        <v>2000</v>
      </c>
      <c r="K54" s="18">
        <f t="shared" si="1"/>
        <v>117.64705882352941</v>
      </c>
      <c r="L54" s="448">
        <v>17</v>
      </c>
      <c r="M54" s="19">
        <f t="shared" si="39"/>
        <v>1931.5789473684226</v>
      </c>
      <c r="N54" s="19">
        <f t="shared" si="3"/>
        <v>113.62229102167191</v>
      </c>
      <c r="O54" s="20">
        <f t="shared" si="4"/>
        <v>0</v>
      </c>
      <c r="P54" s="21">
        <f t="shared" si="5"/>
        <v>-4.0247678018574931</v>
      </c>
      <c r="Q54" s="446">
        <f t="shared" si="6"/>
        <v>0.96578947368421131</v>
      </c>
      <c r="R54" s="573"/>
      <c r="S54" s="458">
        <v>0.70833333333333337</v>
      </c>
      <c r="T54" s="458">
        <v>0.74791666666666667</v>
      </c>
      <c r="U54" s="447" t="str">
        <f t="shared" si="38"/>
        <v/>
      </c>
      <c r="V54" s="449">
        <f t="shared" si="37"/>
        <v>56.999999999999957</v>
      </c>
      <c r="W54" s="25"/>
      <c r="X54" s="25"/>
      <c r="Y54" s="28"/>
      <c r="Z54" s="28"/>
      <c r="AA54" s="568"/>
      <c r="AB54" s="569"/>
      <c r="AC54" s="459"/>
      <c r="AD54" s="27"/>
      <c r="AE54" s="20">
        <f t="shared" si="8"/>
        <v>-68.421052631577368</v>
      </c>
      <c r="AF54" s="446">
        <f t="shared" si="9"/>
        <v>0.96578947368421131</v>
      </c>
      <c r="AG54" s="573"/>
    </row>
    <row r="55" spans="1:33" ht="15.75" customHeight="1">
      <c r="A55" s="582" t="s">
        <v>291</v>
      </c>
      <c r="B55" s="454" t="s">
        <v>74</v>
      </c>
      <c r="C55" s="621" t="s">
        <v>1826</v>
      </c>
      <c r="D55" s="622"/>
      <c r="E55" s="454">
        <v>51.06</v>
      </c>
      <c r="F55" s="463">
        <v>2979</v>
      </c>
      <c r="G55" s="447">
        <f t="shared" si="35"/>
        <v>152107.74000000002</v>
      </c>
      <c r="H55" s="456" t="s">
        <v>126</v>
      </c>
      <c r="I55" s="448">
        <v>13</v>
      </c>
      <c r="J55" s="457">
        <v>2000</v>
      </c>
      <c r="K55" s="18">
        <f t="shared" si="1"/>
        <v>153.84615384615384</v>
      </c>
      <c r="L55" s="448">
        <v>13</v>
      </c>
      <c r="M55" s="19">
        <f t="shared" si="39"/>
        <v>1921.935483870968</v>
      </c>
      <c r="N55" s="19">
        <f t="shared" si="3"/>
        <v>147.84119106699754</v>
      </c>
      <c r="O55" s="20">
        <f t="shared" si="4"/>
        <v>0</v>
      </c>
      <c r="P55" s="21">
        <f t="shared" si="5"/>
        <v>-6.0049627791563012</v>
      </c>
      <c r="Q55" s="446">
        <f t="shared" si="6"/>
        <v>0.96096774193548407</v>
      </c>
      <c r="R55" s="573"/>
      <c r="S55" s="458">
        <v>0.75138888888888888</v>
      </c>
      <c r="T55" s="458">
        <v>0.81597222222222221</v>
      </c>
      <c r="U55" s="447">
        <f t="shared" si="38"/>
        <v>4.9999999999999822</v>
      </c>
      <c r="V55" s="449">
        <f t="shared" si="37"/>
        <v>92.999999999999986</v>
      </c>
      <c r="W55" s="25"/>
      <c r="X55" s="25"/>
      <c r="Y55" s="28"/>
      <c r="Z55" s="28"/>
      <c r="AA55" s="568"/>
      <c r="AB55" s="569"/>
      <c r="AC55" s="459"/>
      <c r="AD55" s="27"/>
      <c r="AE55" s="20">
        <f t="shared" si="8"/>
        <v>-78.064516129031972</v>
      </c>
      <c r="AF55" s="446">
        <f t="shared" si="9"/>
        <v>0.96096774193548407</v>
      </c>
      <c r="AG55" s="573"/>
    </row>
    <row r="56" spans="1:33">
      <c r="A56" s="583" t="s">
        <v>291</v>
      </c>
      <c r="B56" s="454" t="s">
        <v>278</v>
      </c>
      <c r="C56" s="625"/>
      <c r="D56" s="625"/>
      <c r="E56" s="460"/>
      <c r="F56" s="461"/>
      <c r="G56" s="18"/>
      <c r="H56" s="455"/>
      <c r="I56" s="32">
        <v>18.285714285714285</v>
      </c>
      <c r="J56" s="457">
        <v>2000</v>
      </c>
      <c r="K56" s="18">
        <f t="shared" si="1"/>
        <v>109.375</v>
      </c>
      <c r="L56" s="32">
        <v>18.285714285714285</v>
      </c>
      <c r="M56" s="19">
        <f>AVERAGE(M49:M55)</f>
        <v>1928.1364312160365</v>
      </c>
      <c r="N56" s="18">
        <f t="shared" si="3"/>
        <v>105.44496108212701</v>
      </c>
      <c r="O56" s="20">
        <f t="shared" si="4"/>
        <v>0</v>
      </c>
      <c r="P56" s="21">
        <f t="shared" si="5"/>
        <v>-3.9300389178729915</v>
      </c>
      <c r="Q56" s="446">
        <f t="shared" si="6"/>
        <v>0.96406821560801836</v>
      </c>
      <c r="R56" s="573"/>
      <c r="S56" s="458"/>
      <c r="T56" s="458"/>
      <c r="U56" s="447"/>
      <c r="V56" s="449"/>
      <c r="W56" s="18"/>
      <c r="X56" s="18"/>
      <c r="Y56" s="33">
        <f>SUM(Y49:Y55)</f>
        <v>0</v>
      </c>
      <c r="Z56" s="33">
        <f>SUM(Z49:Z55)</f>
        <v>0</v>
      </c>
      <c r="AA56" s="572"/>
      <c r="AB56" s="572"/>
      <c r="AC56" s="33">
        <v>7</v>
      </c>
      <c r="AD56" s="33">
        <f>SUM(AD49:AD55)</f>
        <v>0</v>
      </c>
      <c r="AE56" s="20">
        <f>M56-J56</f>
        <v>-71.863568783963501</v>
      </c>
      <c r="AF56" s="446">
        <f t="shared" si="9"/>
        <v>0.96406821560801825</v>
      </c>
      <c r="AG56" s="573"/>
    </row>
    <row r="57" spans="1:33" ht="15.75" customHeight="1">
      <c r="A57" s="580" t="s">
        <v>419</v>
      </c>
      <c r="B57" s="455" t="s">
        <v>104</v>
      </c>
      <c r="C57" s="620" t="s">
        <v>115</v>
      </c>
      <c r="D57" s="620"/>
      <c r="E57" s="454">
        <v>34.36</v>
      </c>
      <c r="F57" s="463">
        <v>2219</v>
      </c>
      <c r="G57" s="447">
        <f t="shared" ref="G57:G61" si="40">E57*F57</f>
        <v>76244.84</v>
      </c>
      <c r="H57" s="456" t="s">
        <v>126</v>
      </c>
      <c r="I57" s="448">
        <v>10</v>
      </c>
      <c r="J57" s="457">
        <v>3000</v>
      </c>
      <c r="K57" s="18">
        <f t="shared" si="1"/>
        <v>300</v>
      </c>
      <c r="L57" s="448">
        <v>10</v>
      </c>
      <c r="M57" s="19">
        <f t="shared" ref="M57:M61" si="41">F57/V57*60</f>
        <v>2894.3478260869565</v>
      </c>
      <c r="N57" s="18">
        <f t="shared" si="3"/>
        <v>289.43478260869563</v>
      </c>
      <c r="O57" s="20">
        <f t="shared" si="4"/>
        <v>0</v>
      </c>
      <c r="P57" s="21">
        <f t="shared" si="5"/>
        <v>-10.565217391304373</v>
      </c>
      <c r="Q57" s="446">
        <f t="shared" si="6"/>
        <v>0.96478260869565213</v>
      </c>
      <c r="R57" s="573">
        <f>Q62</f>
        <v>0.95883953810357103</v>
      </c>
      <c r="S57" s="458">
        <v>0.20833333333333334</v>
      </c>
      <c r="T57" s="458">
        <v>0.24027777777777778</v>
      </c>
      <c r="U57" s="447"/>
      <c r="V57" s="449">
        <f t="shared" ref="V57:V61" si="42">(T57-S57)*24*60</f>
        <v>46</v>
      </c>
      <c r="W57" s="30"/>
      <c r="X57" s="30"/>
      <c r="Y57" s="30"/>
      <c r="Z57" s="30"/>
      <c r="AA57" s="575"/>
      <c r="AB57" s="575"/>
      <c r="AC57" s="459">
        <v>5</v>
      </c>
      <c r="AD57" s="27"/>
      <c r="AE57" s="20">
        <f t="shared" ref="AE57:AE70" si="43">M57-J57</f>
        <v>-105.6521739130435</v>
      </c>
      <c r="AF57" s="446">
        <f t="shared" si="9"/>
        <v>0.96478260869565213</v>
      </c>
      <c r="AG57" s="573">
        <f>AF62</f>
        <v>0.95883953810357114</v>
      </c>
    </row>
    <row r="58" spans="1:33" ht="15.75" customHeight="1">
      <c r="A58" s="580" t="s">
        <v>419</v>
      </c>
      <c r="B58" s="455" t="s">
        <v>104</v>
      </c>
      <c r="C58" s="620" t="s">
        <v>116</v>
      </c>
      <c r="D58" s="620"/>
      <c r="E58" s="454">
        <v>34.36</v>
      </c>
      <c r="F58" s="463">
        <v>1145</v>
      </c>
      <c r="G58" s="447">
        <f t="shared" si="40"/>
        <v>39342.199999999997</v>
      </c>
      <c r="H58" s="456" t="s">
        <v>126</v>
      </c>
      <c r="I58" s="448">
        <v>10</v>
      </c>
      <c r="J58" s="457">
        <v>3000</v>
      </c>
      <c r="K58" s="18">
        <f t="shared" si="1"/>
        <v>300</v>
      </c>
      <c r="L58" s="448">
        <v>10</v>
      </c>
      <c r="M58" s="19">
        <f t="shared" si="41"/>
        <v>2862.5000000000009</v>
      </c>
      <c r="N58" s="18">
        <f t="shared" si="3"/>
        <v>286.25000000000011</v>
      </c>
      <c r="O58" s="20">
        <f t="shared" si="4"/>
        <v>0</v>
      </c>
      <c r="P58" s="21">
        <f t="shared" si="5"/>
        <v>-13.749999999999886</v>
      </c>
      <c r="Q58" s="446">
        <f t="shared" si="6"/>
        <v>0.95416666666666705</v>
      </c>
      <c r="R58" s="573"/>
      <c r="S58" s="458">
        <v>0.24513888888888891</v>
      </c>
      <c r="T58" s="458">
        <v>0.26180555555555557</v>
      </c>
      <c r="U58" s="447">
        <f t="shared" ref="U58:U61" si="44">(S58-T57)*24*60</f>
        <v>7.0000000000000151</v>
      </c>
      <c r="V58" s="449">
        <f t="shared" si="42"/>
        <v>23.999999999999993</v>
      </c>
      <c r="W58" s="447"/>
      <c r="X58" s="447"/>
      <c r="Y58" s="447"/>
      <c r="Z58" s="447"/>
      <c r="AA58" s="575"/>
      <c r="AB58" s="575"/>
      <c r="AC58" s="459"/>
      <c r="AD58" s="27"/>
      <c r="AE58" s="20">
        <f t="shared" si="43"/>
        <v>-137.49999999999909</v>
      </c>
      <c r="AF58" s="446">
        <f t="shared" si="9"/>
        <v>0.95416666666666694</v>
      </c>
      <c r="AG58" s="573"/>
    </row>
    <row r="59" spans="1:33" ht="15.75" customHeight="1">
      <c r="A59" s="580" t="s">
        <v>419</v>
      </c>
      <c r="B59" s="455" t="s">
        <v>104</v>
      </c>
      <c r="C59" s="620" t="s">
        <v>117</v>
      </c>
      <c r="D59" s="620"/>
      <c r="E59" s="454">
        <v>26.78</v>
      </c>
      <c r="F59" s="463">
        <v>2427</v>
      </c>
      <c r="G59" s="447">
        <f t="shared" si="40"/>
        <v>64995.060000000005</v>
      </c>
      <c r="H59" s="456" t="s">
        <v>126</v>
      </c>
      <c r="I59" s="448">
        <v>10</v>
      </c>
      <c r="J59" s="457">
        <v>3000</v>
      </c>
      <c r="K59" s="18">
        <f t="shared" si="1"/>
        <v>300</v>
      </c>
      <c r="L59" s="448">
        <v>10</v>
      </c>
      <c r="M59" s="19">
        <f t="shared" si="41"/>
        <v>2855.2941176470599</v>
      </c>
      <c r="N59" s="18">
        <f t="shared" si="3"/>
        <v>285.52941176470597</v>
      </c>
      <c r="O59" s="20">
        <f t="shared" si="4"/>
        <v>0</v>
      </c>
      <c r="P59" s="21">
        <f t="shared" si="5"/>
        <v>-14.470588235294031</v>
      </c>
      <c r="Q59" s="446">
        <f t="shared" si="6"/>
        <v>0.95176470588235318</v>
      </c>
      <c r="R59" s="573"/>
      <c r="S59" s="458">
        <v>0.26597222222222222</v>
      </c>
      <c r="T59" s="458">
        <v>0.30138888888888887</v>
      </c>
      <c r="U59" s="447">
        <f t="shared" si="44"/>
        <v>5.9999999999999787</v>
      </c>
      <c r="V59" s="449">
        <f t="shared" si="42"/>
        <v>50.999999999999979</v>
      </c>
      <c r="W59" s="447"/>
      <c r="X59" s="447"/>
      <c r="Y59" s="447"/>
      <c r="Z59" s="447"/>
      <c r="AA59" s="575"/>
      <c r="AB59" s="575"/>
      <c r="AC59" s="459"/>
      <c r="AD59" s="27"/>
      <c r="AE59" s="20">
        <f t="shared" si="43"/>
        <v>-144.70588235294008</v>
      </c>
      <c r="AF59" s="446">
        <f t="shared" si="9"/>
        <v>0.95176470588235329</v>
      </c>
      <c r="AG59" s="573"/>
    </row>
    <row r="60" spans="1:33" ht="15.75" customHeight="1">
      <c r="A60" s="580" t="s">
        <v>419</v>
      </c>
      <c r="B60" s="455" t="s">
        <v>104</v>
      </c>
      <c r="C60" s="620" t="s">
        <v>119</v>
      </c>
      <c r="D60" s="620"/>
      <c r="E60" s="454">
        <v>35.869999999999997</v>
      </c>
      <c r="F60" s="463">
        <v>3654</v>
      </c>
      <c r="G60" s="447">
        <f t="shared" si="40"/>
        <v>131068.98</v>
      </c>
      <c r="H60" s="456" t="s">
        <v>126</v>
      </c>
      <c r="I60" s="448">
        <v>9</v>
      </c>
      <c r="J60" s="457">
        <v>3000</v>
      </c>
      <c r="K60" s="18">
        <f t="shared" si="1"/>
        <v>333.33333333333331</v>
      </c>
      <c r="L60" s="448">
        <v>9</v>
      </c>
      <c r="M60" s="19">
        <f t="shared" si="41"/>
        <v>2884.7368421052643</v>
      </c>
      <c r="N60" s="18">
        <f t="shared" si="3"/>
        <v>320.52631578947381</v>
      </c>
      <c r="O60" s="20">
        <f t="shared" si="4"/>
        <v>0</v>
      </c>
      <c r="P60" s="21">
        <f t="shared" si="5"/>
        <v>-12.807017543859502</v>
      </c>
      <c r="Q60" s="446">
        <f t="shared" si="6"/>
        <v>0.96157894736842153</v>
      </c>
      <c r="R60" s="573"/>
      <c r="S60" s="458">
        <v>0.30624999999999997</v>
      </c>
      <c r="T60" s="458">
        <v>0.35902777777777772</v>
      </c>
      <c r="U60" s="447">
        <f t="shared" si="44"/>
        <v>6.9999999999999751</v>
      </c>
      <c r="V60" s="449">
        <f t="shared" si="42"/>
        <v>75.999999999999972</v>
      </c>
      <c r="W60" s="447"/>
      <c r="X60" s="447"/>
      <c r="Y60" s="447"/>
      <c r="Z60" s="447"/>
      <c r="AA60" s="575"/>
      <c r="AB60" s="575"/>
      <c r="AC60" s="459"/>
      <c r="AD60" s="27"/>
      <c r="AE60" s="20">
        <f t="shared" si="43"/>
        <v>-115.26315789473574</v>
      </c>
      <c r="AF60" s="446">
        <f t="shared" si="9"/>
        <v>0.96157894736842142</v>
      </c>
      <c r="AG60" s="573"/>
    </row>
    <row r="61" spans="1:33">
      <c r="A61" s="581" t="s">
        <v>419</v>
      </c>
      <c r="B61" s="455" t="s">
        <v>104</v>
      </c>
      <c r="C61" s="620" t="s">
        <v>120</v>
      </c>
      <c r="D61" s="620"/>
      <c r="E61" s="454">
        <v>34.35</v>
      </c>
      <c r="F61" s="463">
        <v>2020</v>
      </c>
      <c r="G61" s="447">
        <f t="shared" si="40"/>
        <v>69387</v>
      </c>
      <c r="H61" s="456" t="s">
        <v>126</v>
      </c>
      <c r="I61" s="448">
        <v>8</v>
      </c>
      <c r="J61" s="457">
        <v>3000</v>
      </c>
      <c r="K61" s="18">
        <f t="shared" si="1"/>
        <v>375</v>
      </c>
      <c r="L61" s="448">
        <v>8</v>
      </c>
      <c r="M61" s="19">
        <f t="shared" si="41"/>
        <v>2885.7142857142849</v>
      </c>
      <c r="N61" s="18">
        <f t="shared" si="3"/>
        <v>360.71428571428561</v>
      </c>
      <c r="O61" s="20">
        <f t="shared" si="4"/>
        <v>0</v>
      </c>
      <c r="P61" s="21">
        <f t="shared" si="5"/>
        <v>-14.285714285714391</v>
      </c>
      <c r="Q61" s="446">
        <f t="shared" si="6"/>
        <v>0.9619047619047616</v>
      </c>
      <c r="R61" s="573"/>
      <c r="S61" s="458">
        <v>0.36388888888888882</v>
      </c>
      <c r="T61" s="458">
        <v>0.39305555555555549</v>
      </c>
      <c r="U61" s="447">
        <f t="shared" si="44"/>
        <v>6.9999999999999751</v>
      </c>
      <c r="V61" s="449">
        <f t="shared" si="42"/>
        <v>42.000000000000014</v>
      </c>
      <c r="W61" s="25"/>
      <c r="X61" s="25"/>
      <c r="Y61" s="25"/>
      <c r="Z61" s="25"/>
      <c r="AA61" s="575"/>
      <c r="AB61" s="575"/>
      <c r="AC61" s="459"/>
      <c r="AD61" s="27"/>
      <c r="AE61" s="20">
        <f t="shared" si="43"/>
        <v>-114.28571428571513</v>
      </c>
      <c r="AF61" s="446">
        <f t="shared" si="9"/>
        <v>0.9619047619047616</v>
      </c>
      <c r="AG61" s="573"/>
    </row>
    <row r="62" spans="1:33">
      <c r="A62" s="581" t="s">
        <v>419</v>
      </c>
      <c r="B62" s="454" t="s">
        <v>278</v>
      </c>
      <c r="C62" s="625"/>
      <c r="D62" s="625"/>
      <c r="E62" s="460"/>
      <c r="F62" s="461"/>
      <c r="G62" s="18"/>
      <c r="H62" s="455"/>
      <c r="I62" s="32">
        <v>9.4</v>
      </c>
      <c r="J62" s="457">
        <v>3000</v>
      </c>
      <c r="K62" s="18">
        <f t="shared" si="1"/>
        <v>319.14893617021278</v>
      </c>
      <c r="L62" s="32">
        <v>9.4</v>
      </c>
      <c r="M62" s="19">
        <f>AVERAGE(M57:M61)</f>
        <v>2876.5186143107135</v>
      </c>
      <c r="N62" s="18">
        <f t="shared" si="3"/>
        <v>306.01261854369289</v>
      </c>
      <c r="O62" s="20">
        <f t="shared" si="4"/>
        <v>0</v>
      </c>
      <c r="P62" s="21">
        <f t="shared" si="5"/>
        <v>-13.136317626519883</v>
      </c>
      <c r="Q62" s="446">
        <f t="shared" si="6"/>
        <v>0.95883953810357103</v>
      </c>
      <c r="R62" s="573"/>
      <c r="S62" s="458"/>
      <c r="T62" s="458"/>
      <c r="U62" s="18"/>
      <c r="V62" s="449"/>
      <c r="W62" s="18"/>
      <c r="X62" s="18"/>
      <c r="Y62" s="33">
        <f>SUM(Y57:Y61)</f>
        <v>0</v>
      </c>
      <c r="Z62" s="33">
        <f>SUM(Z57:Z61)</f>
        <v>0</v>
      </c>
      <c r="AA62" s="572"/>
      <c r="AB62" s="572"/>
      <c r="AC62" s="33">
        <v>5</v>
      </c>
      <c r="AD62" s="33">
        <f>SUM(AD57:AD61)</f>
        <v>0</v>
      </c>
      <c r="AE62" s="20">
        <f t="shared" si="43"/>
        <v>-123.48138568928653</v>
      </c>
      <c r="AF62" s="446">
        <f t="shared" si="9"/>
        <v>0.95883953810357114</v>
      </c>
      <c r="AG62" s="573"/>
    </row>
    <row r="63" spans="1:33" ht="15.75" customHeight="1">
      <c r="A63" s="577" t="s">
        <v>422</v>
      </c>
      <c r="B63" s="455" t="s">
        <v>94</v>
      </c>
      <c r="C63" s="620" t="s">
        <v>124</v>
      </c>
      <c r="D63" s="620"/>
      <c r="E63" s="454">
        <v>22.69</v>
      </c>
      <c r="F63" s="455">
        <v>4013</v>
      </c>
      <c r="G63" s="447">
        <f t="shared" ref="G63:G69" si="45">E63*F63</f>
        <v>91054.97</v>
      </c>
      <c r="H63" s="456" t="s">
        <v>126</v>
      </c>
      <c r="I63" s="448">
        <v>15</v>
      </c>
      <c r="J63" s="457">
        <v>2400</v>
      </c>
      <c r="K63" s="18">
        <f t="shared" si="1"/>
        <v>160</v>
      </c>
      <c r="L63" s="448">
        <v>15</v>
      </c>
      <c r="M63" s="19">
        <f t="shared" ref="M63:M69" si="46">F63/V63*60</f>
        <v>2293.1428571428573</v>
      </c>
      <c r="N63" s="18">
        <f t="shared" si="3"/>
        <v>152.87619047619049</v>
      </c>
      <c r="O63" s="20">
        <f t="shared" si="4"/>
        <v>0</v>
      </c>
      <c r="P63" s="21">
        <f t="shared" si="5"/>
        <v>-7.1238095238095127</v>
      </c>
      <c r="Q63" s="446">
        <f t="shared" si="6"/>
        <v>0.95547619047619059</v>
      </c>
      <c r="R63" s="573">
        <f>Q70</f>
        <v>0.95558420972791036</v>
      </c>
      <c r="S63" s="458">
        <v>8.3333333333333329E-2</v>
      </c>
      <c r="T63" s="458">
        <v>0.15625</v>
      </c>
      <c r="U63" s="30"/>
      <c r="V63" s="449">
        <f t="shared" ref="V63:V69" si="47">(T63-S63)*24*60</f>
        <v>105</v>
      </c>
      <c r="W63" s="25">
        <f>T63</f>
        <v>0.15625</v>
      </c>
      <c r="X63" s="25">
        <f>S64</f>
        <v>0.17569444444444446</v>
      </c>
      <c r="Y63" s="25"/>
      <c r="Z63" s="25"/>
      <c r="AA63" s="575"/>
      <c r="AB63" s="575"/>
      <c r="AC63" s="459">
        <v>7</v>
      </c>
      <c r="AD63" s="27"/>
      <c r="AE63" s="20">
        <f t="shared" si="43"/>
        <v>-106.85714285714266</v>
      </c>
      <c r="AF63" s="446">
        <f t="shared" si="9"/>
        <v>0.95547619047619059</v>
      </c>
      <c r="AG63" s="573">
        <f>AF70</f>
        <v>0.95558420972791036</v>
      </c>
    </row>
    <row r="64" spans="1:33" ht="15.75" customHeight="1">
      <c r="A64" s="578" t="s">
        <v>422</v>
      </c>
      <c r="B64" s="455" t="s">
        <v>94</v>
      </c>
      <c r="C64" s="620" t="s">
        <v>125</v>
      </c>
      <c r="D64" s="620"/>
      <c r="E64" s="454">
        <v>19.02</v>
      </c>
      <c r="F64" s="455">
        <v>5000</v>
      </c>
      <c r="G64" s="447">
        <f t="shared" si="45"/>
        <v>95100</v>
      </c>
      <c r="H64" s="456">
        <v>2</v>
      </c>
      <c r="I64" s="448">
        <v>14</v>
      </c>
      <c r="J64" s="457">
        <v>2400</v>
      </c>
      <c r="K64" s="18">
        <f t="shared" si="1"/>
        <v>171.42857142857142</v>
      </c>
      <c r="L64" s="448">
        <v>14</v>
      </c>
      <c r="M64" s="19">
        <f t="shared" si="46"/>
        <v>2290.0763358778631</v>
      </c>
      <c r="N64" s="18">
        <f t="shared" si="3"/>
        <v>163.57688113413309</v>
      </c>
      <c r="O64" s="20">
        <f t="shared" si="4"/>
        <v>0</v>
      </c>
      <c r="P64" s="21">
        <f t="shared" si="5"/>
        <v>-7.8516902944383276</v>
      </c>
      <c r="Q64" s="446">
        <f t="shared" si="6"/>
        <v>0.95419847328244312</v>
      </c>
      <c r="R64" s="573"/>
      <c r="S64" s="458">
        <v>0.17569444444444446</v>
      </c>
      <c r="T64" s="458">
        <v>0.26666666666666666</v>
      </c>
      <c r="U64" s="447">
        <f t="shared" ref="U64:U69" si="48">(S64-T63)*24*60</f>
        <v>28.000000000000021</v>
      </c>
      <c r="V64" s="449">
        <f t="shared" si="47"/>
        <v>130.99999999999997</v>
      </c>
      <c r="W64" s="25"/>
      <c r="X64" s="25"/>
      <c r="Y64" s="25"/>
      <c r="Z64" s="25"/>
      <c r="AA64" s="575"/>
      <c r="AB64" s="575"/>
      <c r="AC64" s="459"/>
      <c r="AD64" s="27"/>
      <c r="AE64" s="20">
        <f t="shared" si="43"/>
        <v>-109.92366412213687</v>
      </c>
      <c r="AF64" s="446">
        <f t="shared" si="9"/>
        <v>0.954198473282443</v>
      </c>
      <c r="AG64" s="573"/>
    </row>
    <row r="65" spans="1:33" ht="15.75" customHeight="1">
      <c r="A65" s="578" t="s">
        <v>422</v>
      </c>
      <c r="B65" s="455" t="s">
        <v>94</v>
      </c>
      <c r="C65" s="620" t="s">
        <v>99</v>
      </c>
      <c r="D65" s="620"/>
      <c r="E65" s="454">
        <v>20.36</v>
      </c>
      <c r="F65" s="455">
        <v>5074</v>
      </c>
      <c r="G65" s="447">
        <f t="shared" si="45"/>
        <v>103306.64</v>
      </c>
      <c r="H65" s="456" t="s">
        <v>126</v>
      </c>
      <c r="I65" s="448">
        <v>17</v>
      </c>
      <c r="J65" s="457">
        <v>2400</v>
      </c>
      <c r="K65" s="18">
        <f t="shared" si="1"/>
        <v>141.1764705882353</v>
      </c>
      <c r="L65" s="448">
        <v>17</v>
      </c>
      <c r="M65" s="19">
        <f t="shared" si="46"/>
        <v>2289.0225563909776</v>
      </c>
      <c r="N65" s="18">
        <f t="shared" si="3"/>
        <v>134.64838567005751</v>
      </c>
      <c r="O65" s="20">
        <f t="shared" si="4"/>
        <v>0</v>
      </c>
      <c r="P65" s="21">
        <f t="shared" si="5"/>
        <v>-6.5280849181777967</v>
      </c>
      <c r="Q65" s="446">
        <f t="shared" si="6"/>
        <v>0.95375939849624058</v>
      </c>
      <c r="R65" s="573"/>
      <c r="S65" s="458">
        <v>0.27013888888888887</v>
      </c>
      <c r="T65" s="458">
        <v>0.36249999999999999</v>
      </c>
      <c r="U65" s="447">
        <f t="shared" si="48"/>
        <v>4.9999999999999822</v>
      </c>
      <c r="V65" s="449">
        <f t="shared" si="47"/>
        <v>133</v>
      </c>
      <c r="W65" s="25"/>
      <c r="X65" s="25"/>
      <c r="Y65" s="25"/>
      <c r="Z65" s="25"/>
      <c r="AA65" s="575"/>
      <c r="AB65" s="575"/>
      <c r="AC65" s="459"/>
      <c r="AD65" s="27"/>
      <c r="AE65" s="20">
        <f t="shared" si="43"/>
        <v>-110.97744360902243</v>
      </c>
      <c r="AF65" s="446">
        <f t="shared" si="9"/>
        <v>0.9537593984962407</v>
      </c>
      <c r="AG65" s="573"/>
    </row>
    <row r="66" spans="1:33" ht="15.75" customHeight="1">
      <c r="A66" s="578" t="s">
        <v>422</v>
      </c>
      <c r="B66" s="455" t="s">
        <v>94</v>
      </c>
      <c r="C66" s="620" t="s">
        <v>123</v>
      </c>
      <c r="D66" s="620"/>
      <c r="E66" s="454">
        <v>20.21</v>
      </c>
      <c r="F66" s="455">
        <v>3328</v>
      </c>
      <c r="G66" s="447">
        <f t="shared" si="45"/>
        <v>67258.880000000005</v>
      </c>
      <c r="H66" s="456" t="s">
        <v>126</v>
      </c>
      <c r="I66" s="448">
        <v>15</v>
      </c>
      <c r="J66" s="457">
        <v>2400</v>
      </c>
      <c r="K66" s="18">
        <f t="shared" si="1"/>
        <v>160</v>
      </c>
      <c r="L66" s="448">
        <v>15</v>
      </c>
      <c r="M66" s="19">
        <f t="shared" si="46"/>
        <v>2295.1724137931033</v>
      </c>
      <c r="N66" s="18">
        <f t="shared" si="3"/>
        <v>153.01149425287355</v>
      </c>
      <c r="O66" s="20">
        <f t="shared" si="4"/>
        <v>0</v>
      </c>
      <c r="P66" s="21">
        <f t="shared" si="5"/>
        <v>-6.9885057471264531</v>
      </c>
      <c r="Q66" s="446">
        <f t="shared" si="6"/>
        <v>0.95632183908045965</v>
      </c>
      <c r="R66" s="573"/>
      <c r="S66" s="458">
        <v>0.36666666666666664</v>
      </c>
      <c r="T66" s="458">
        <v>0.42708333333333331</v>
      </c>
      <c r="U66" s="447">
        <f t="shared" si="48"/>
        <v>5.9999999999999787</v>
      </c>
      <c r="V66" s="449">
        <f t="shared" si="47"/>
        <v>87.000000000000014</v>
      </c>
      <c r="W66" s="25"/>
      <c r="X66" s="25"/>
      <c r="Y66" s="25"/>
      <c r="Z66" s="25"/>
      <c r="AA66" s="575"/>
      <c r="AB66" s="575"/>
      <c r="AC66" s="459"/>
      <c r="AD66" s="27"/>
      <c r="AE66" s="20">
        <f t="shared" si="43"/>
        <v>-104.82758620689674</v>
      </c>
      <c r="AF66" s="446">
        <f t="shared" si="9"/>
        <v>0.95632183908045965</v>
      </c>
      <c r="AG66" s="573"/>
    </row>
    <row r="67" spans="1:33" ht="15.75" customHeight="1">
      <c r="A67" s="578" t="s">
        <v>422</v>
      </c>
      <c r="B67" s="455" t="s">
        <v>94</v>
      </c>
      <c r="C67" s="620" t="s">
        <v>1954</v>
      </c>
      <c r="D67" s="620"/>
      <c r="E67" s="454">
        <v>20.21</v>
      </c>
      <c r="F67" s="455">
        <v>4000</v>
      </c>
      <c r="G67" s="447">
        <f t="shared" si="45"/>
        <v>80840</v>
      </c>
      <c r="H67" s="456">
        <v>2</v>
      </c>
      <c r="I67" s="448">
        <v>18</v>
      </c>
      <c r="J67" s="457">
        <v>2400</v>
      </c>
      <c r="K67" s="18">
        <f t="shared" si="1"/>
        <v>133.33333333333334</v>
      </c>
      <c r="L67" s="448">
        <v>18</v>
      </c>
      <c r="M67" s="19">
        <f t="shared" si="46"/>
        <v>2285.7142857142853</v>
      </c>
      <c r="N67" s="18">
        <f t="shared" si="3"/>
        <v>126.98412698412696</v>
      </c>
      <c r="O67" s="20">
        <f t="shared" si="4"/>
        <v>0</v>
      </c>
      <c r="P67" s="21">
        <f t="shared" si="5"/>
        <v>-6.3492063492063835</v>
      </c>
      <c r="Q67" s="446">
        <f t="shared" si="6"/>
        <v>0.95238095238095211</v>
      </c>
      <c r="R67" s="573"/>
      <c r="S67" s="458">
        <v>0.43124999999999997</v>
      </c>
      <c r="T67" s="458">
        <v>0.50416666666666665</v>
      </c>
      <c r="U67" s="447">
        <f t="shared" si="48"/>
        <v>5.9999999999999787</v>
      </c>
      <c r="V67" s="449">
        <f t="shared" si="47"/>
        <v>105.00000000000003</v>
      </c>
      <c r="W67" s="25">
        <f>T67</f>
        <v>0.50416666666666665</v>
      </c>
      <c r="X67" s="25">
        <f>S68</f>
        <v>0.54583333333333328</v>
      </c>
      <c r="Y67" s="25"/>
      <c r="Z67" s="25"/>
      <c r="AA67" s="575"/>
      <c r="AB67" s="575"/>
      <c r="AC67" s="459"/>
      <c r="AD67" s="27"/>
      <c r="AE67" s="20">
        <f t="shared" si="43"/>
        <v>-114.28571428571468</v>
      </c>
      <c r="AF67" s="446">
        <f t="shared" si="9"/>
        <v>0.95238095238095222</v>
      </c>
      <c r="AG67" s="573"/>
    </row>
    <row r="68" spans="1:33" ht="15.75" customHeight="1">
      <c r="A68" s="578" t="s">
        <v>422</v>
      </c>
      <c r="B68" s="455" t="s">
        <v>94</v>
      </c>
      <c r="C68" s="620" t="s">
        <v>125</v>
      </c>
      <c r="D68" s="620"/>
      <c r="E68" s="454">
        <v>19.02</v>
      </c>
      <c r="F68" s="455">
        <v>3784</v>
      </c>
      <c r="G68" s="447">
        <f t="shared" si="45"/>
        <v>71971.679999999993</v>
      </c>
      <c r="H68" s="456" t="s">
        <v>126</v>
      </c>
      <c r="I68" s="448">
        <v>14</v>
      </c>
      <c r="J68" s="457">
        <v>2400</v>
      </c>
      <c r="K68" s="18">
        <f t="shared" si="1"/>
        <v>171.42857142857142</v>
      </c>
      <c r="L68" s="448">
        <v>14</v>
      </c>
      <c r="M68" s="19">
        <f t="shared" si="46"/>
        <v>2293.3333333333339</v>
      </c>
      <c r="N68" s="18">
        <f t="shared" si="3"/>
        <v>163.80952380952385</v>
      </c>
      <c r="O68" s="20">
        <f t="shared" si="4"/>
        <v>0</v>
      </c>
      <c r="P68" s="21">
        <f t="shared" si="5"/>
        <v>-7.6190476190475636</v>
      </c>
      <c r="Q68" s="446">
        <f t="shared" si="6"/>
        <v>0.95555555555555582</v>
      </c>
      <c r="R68" s="573"/>
      <c r="S68" s="458">
        <v>0.54583333333333328</v>
      </c>
      <c r="T68" s="458">
        <v>0.61458333333333326</v>
      </c>
      <c r="U68" s="447">
        <f t="shared" si="48"/>
        <v>59.999999999999943</v>
      </c>
      <c r="V68" s="449">
        <f t="shared" si="47"/>
        <v>98.999999999999972</v>
      </c>
      <c r="W68" s="25"/>
      <c r="X68" s="25"/>
      <c r="Y68" s="25"/>
      <c r="Z68" s="25"/>
      <c r="AA68" s="575"/>
      <c r="AB68" s="575"/>
      <c r="AC68" s="459"/>
      <c r="AD68" s="27"/>
      <c r="AE68" s="20">
        <f t="shared" si="43"/>
        <v>-106.66666666666606</v>
      </c>
      <c r="AF68" s="446">
        <f t="shared" si="9"/>
        <v>0.95555555555555582</v>
      </c>
      <c r="AG68" s="573"/>
    </row>
    <row r="69" spans="1:33" ht="15.75" customHeight="1">
      <c r="A69" s="578" t="s">
        <v>2835</v>
      </c>
      <c r="B69" s="455" t="s">
        <v>94</v>
      </c>
      <c r="C69" s="621" t="s">
        <v>1954</v>
      </c>
      <c r="D69" s="622"/>
      <c r="E69" s="454">
        <v>20.21</v>
      </c>
      <c r="F69" s="455">
        <v>2615</v>
      </c>
      <c r="G69" s="447">
        <f t="shared" si="45"/>
        <v>52849.15</v>
      </c>
      <c r="H69" s="456" t="s">
        <v>126</v>
      </c>
      <c r="I69" s="448">
        <v>18</v>
      </c>
      <c r="J69" s="457">
        <v>2400</v>
      </c>
      <c r="K69" s="18">
        <f t="shared" ref="K69:K70" si="49">J69/I69</f>
        <v>133.33333333333334</v>
      </c>
      <c r="L69" s="448">
        <v>18</v>
      </c>
      <c r="M69" s="19">
        <f t="shared" si="46"/>
        <v>2307.3529411764735</v>
      </c>
      <c r="N69" s="18">
        <f t="shared" ref="N69:N70" si="50">M69/L69</f>
        <v>128.18627450980409</v>
      </c>
      <c r="O69" s="20">
        <f t="shared" ref="O69:O70" si="51">L69-I69</f>
        <v>0</v>
      </c>
      <c r="P69" s="21">
        <f t="shared" ref="P69:P70" si="52">N69-K69</f>
        <v>-5.1470588235292496</v>
      </c>
      <c r="Q69" s="446">
        <f t="shared" ref="Q69:Q70" si="53">N69/K69</f>
        <v>0.96139705882353066</v>
      </c>
      <c r="R69" s="573"/>
      <c r="S69" s="458">
        <v>0.61805555555555547</v>
      </c>
      <c r="T69" s="458">
        <v>0.66527777777777763</v>
      </c>
      <c r="U69" s="447">
        <f t="shared" si="48"/>
        <v>4.9999999999999822</v>
      </c>
      <c r="V69" s="449">
        <f t="shared" si="47"/>
        <v>67.999999999999915</v>
      </c>
      <c r="W69" s="25"/>
      <c r="X69" s="25"/>
      <c r="Y69" s="28"/>
      <c r="Z69" s="28"/>
      <c r="AA69" s="568"/>
      <c r="AB69" s="569"/>
      <c r="AC69" s="459"/>
      <c r="AD69" s="27"/>
      <c r="AE69" s="20">
        <f t="shared" si="43"/>
        <v>-92.64705882352655</v>
      </c>
      <c r="AF69" s="446">
        <f t="shared" ref="AF69:AF70" si="54">M69/J69</f>
        <v>0.96139705882353066</v>
      </c>
      <c r="AG69" s="573"/>
    </row>
    <row r="70" spans="1:33" ht="16.5" customHeight="1">
      <c r="A70" s="579" t="s">
        <v>422</v>
      </c>
      <c r="B70" s="454" t="s">
        <v>278</v>
      </c>
      <c r="C70" s="623"/>
      <c r="D70" s="624"/>
      <c r="E70" s="460"/>
      <c r="F70" s="461"/>
      <c r="G70" s="18"/>
      <c r="H70" s="455"/>
      <c r="I70" s="32">
        <v>15.857142857142858</v>
      </c>
      <c r="J70" s="457">
        <v>2400</v>
      </c>
      <c r="K70" s="18">
        <f t="shared" si="49"/>
        <v>151.35135135135135</v>
      </c>
      <c r="L70" s="32">
        <v>15.857142857142858</v>
      </c>
      <c r="M70" s="19">
        <f>AVERAGE(M63:M69)</f>
        <v>2293.4021033469849</v>
      </c>
      <c r="N70" s="18">
        <f t="shared" si="50"/>
        <v>144.62896147233238</v>
      </c>
      <c r="O70" s="20">
        <f t="shared" si="51"/>
        <v>0</v>
      </c>
      <c r="P70" s="21">
        <f t="shared" si="52"/>
        <v>-6.7223898790189764</v>
      </c>
      <c r="Q70" s="446">
        <f t="shared" si="53"/>
        <v>0.95558420972791036</v>
      </c>
      <c r="R70" s="573"/>
      <c r="S70" s="458"/>
      <c r="T70" s="458"/>
      <c r="U70" s="18"/>
      <c r="V70" s="449"/>
      <c r="W70" s="18"/>
      <c r="X70" s="18"/>
      <c r="Y70" s="33">
        <f>SUM(Y63:Y69)</f>
        <v>0</v>
      </c>
      <c r="Z70" s="33">
        <f>SUM(Z63:Z69)</f>
        <v>0</v>
      </c>
      <c r="AA70" s="572"/>
      <c r="AB70" s="572"/>
      <c r="AC70" s="33">
        <v>7</v>
      </c>
      <c r="AD70" s="33">
        <f>SUM(AD63:AD69)</f>
        <v>0</v>
      </c>
      <c r="AE70" s="20">
        <f t="shared" si="43"/>
        <v>-106.59789665301514</v>
      </c>
      <c r="AF70" s="446">
        <f t="shared" si="54"/>
        <v>0.95558420972791036</v>
      </c>
      <c r="AG70" s="573"/>
    </row>
    <row r="71" spans="1:33">
      <c r="D71" s="35"/>
      <c r="E71" s="35"/>
    </row>
  </sheetData>
  <mergeCells count="193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9:A14"/>
    <mergeCell ref="C9:D9"/>
    <mergeCell ref="R9:R14"/>
    <mergeCell ref="AA9:AB9"/>
    <mergeCell ref="AA14:AB14"/>
    <mergeCell ref="AG15:AG20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A19:AB19"/>
    <mergeCell ref="C20:D20"/>
    <mergeCell ref="AA20:AB20"/>
    <mergeCell ref="A21:A27"/>
    <mergeCell ref="C21:D21"/>
    <mergeCell ref="R21:R27"/>
    <mergeCell ref="AA21:AB21"/>
    <mergeCell ref="AA26:AB26"/>
    <mergeCell ref="A15:A20"/>
    <mergeCell ref="C15:D15"/>
    <mergeCell ref="R15:R20"/>
    <mergeCell ref="AA15:AB15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8:A34"/>
    <mergeCell ref="C28:D28"/>
    <mergeCell ref="R28:R34"/>
    <mergeCell ref="AA28:AB28"/>
    <mergeCell ref="AA33:AB33"/>
    <mergeCell ref="C34:D34"/>
    <mergeCell ref="AA34:AB34"/>
    <mergeCell ref="AG35:AG43"/>
    <mergeCell ref="C36:D36"/>
    <mergeCell ref="AA36:AB36"/>
    <mergeCell ref="C37:D37"/>
    <mergeCell ref="AA37:AB37"/>
    <mergeCell ref="C38:D38"/>
    <mergeCell ref="AG28:AG34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42:D42"/>
    <mergeCell ref="AA42:AB42"/>
    <mergeCell ref="C43:D43"/>
    <mergeCell ref="AA43:AB43"/>
    <mergeCell ref="A44:A48"/>
    <mergeCell ref="C44:D44"/>
    <mergeCell ref="R44:R48"/>
    <mergeCell ref="AA44:AB44"/>
    <mergeCell ref="AA38:AB38"/>
    <mergeCell ref="C39:D39"/>
    <mergeCell ref="AA39:AB39"/>
    <mergeCell ref="C40:D40"/>
    <mergeCell ref="AA40:AB40"/>
    <mergeCell ref="C41:D41"/>
    <mergeCell ref="AA41:AB41"/>
    <mergeCell ref="A35:A43"/>
    <mergeCell ref="C35:D35"/>
    <mergeCell ref="R35:R43"/>
    <mergeCell ref="AA35:AB35"/>
    <mergeCell ref="AG44:AG48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A49:A56"/>
    <mergeCell ref="C49:D49"/>
    <mergeCell ref="R49:R56"/>
    <mergeCell ref="AA49:AB49"/>
    <mergeCell ref="AG49:AG56"/>
    <mergeCell ref="C50:D50"/>
    <mergeCell ref="AA50:AB50"/>
    <mergeCell ref="C51:D51"/>
    <mergeCell ref="AA51:AB51"/>
    <mergeCell ref="AA52:AB52"/>
    <mergeCell ref="AG57:AG62"/>
    <mergeCell ref="C58:D58"/>
    <mergeCell ref="AA58:AB58"/>
    <mergeCell ref="C59:D59"/>
    <mergeCell ref="AA59:AB59"/>
    <mergeCell ref="C60:D60"/>
    <mergeCell ref="AA53:AB53"/>
    <mergeCell ref="C54:D54"/>
    <mergeCell ref="AA54:AB54"/>
    <mergeCell ref="C55:D55"/>
    <mergeCell ref="AA55:AB55"/>
    <mergeCell ref="C56:D56"/>
    <mergeCell ref="AA56:AB56"/>
    <mergeCell ref="AA60:AB60"/>
    <mergeCell ref="C61:D61"/>
    <mergeCell ref="AA61:AB61"/>
    <mergeCell ref="C62:D62"/>
    <mergeCell ref="AA62:AB62"/>
    <mergeCell ref="A63:A70"/>
    <mergeCell ref="C63:D63"/>
    <mergeCell ref="R63:R70"/>
    <mergeCell ref="AA63:AB63"/>
    <mergeCell ref="AA68:AB68"/>
    <mergeCell ref="A57:A62"/>
    <mergeCell ref="C57:D57"/>
    <mergeCell ref="R57:R62"/>
    <mergeCell ref="AA57:AB57"/>
    <mergeCell ref="C69:D69"/>
    <mergeCell ref="AA69:AB69"/>
    <mergeCell ref="C70:D70"/>
    <mergeCell ref="AA70:AB70"/>
    <mergeCell ref="AG63:AG70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</mergeCells>
  <phoneticPr fontId="3" type="noConversion"/>
  <conditionalFormatting sqref="O60:O68 O56:O57 O70 O5:O9 O14:O16 O20:O54">
    <cfRule type="cellIs" dxfId="1631" priority="46" operator="greaterThan">
      <formula>0</formula>
    </cfRule>
  </conditionalFormatting>
  <conditionalFormatting sqref="P5:P7 P60:P61 AE60:AE61 P63:P68 P28:P33 P57 P9 P14:P16 P21:P26 P49:P54 P35:P47 AE5:AE57 AE63:AE70">
    <cfRule type="cellIs" dxfId="1630" priority="50" operator="lessThan">
      <formula>0</formula>
    </cfRule>
  </conditionalFormatting>
  <conditionalFormatting sqref="AF60:AF61 Q60:Q68 Q56:Q57 Q70 Q5:Q9 Q14:Q16 Q20:Q54 AF5:AF57 AF63:AF70">
    <cfRule type="cellIs" dxfId="1629" priority="47" operator="greaterThan">
      <formula>1</formula>
    </cfRule>
    <cfRule type="cellIs" dxfId="1628" priority="48" operator="lessThan">
      <formula>0.8</formula>
    </cfRule>
  </conditionalFormatting>
  <conditionalFormatting sqref="AG15:AG16 R15:R16 AG60 R60:R68 AG56:AG57 R56:R57 R70 AG5:AG9 R5:R9 AG20:AG54 R20:R54">
    <cfRule type="cellIs" dxfId="1627" priority="52" operator="lessThan">
      <formula>0.8</formula>
    </cfRule>
  </conditionalFormatting>
  <conditionalFormatting sqref="AG44">
    <cfRule type="cellIs" dxfId="1626" priority="54" operator="lessThan">
      <formula>0.8</formula>
    </cfRule>
  </conditionalFormatting>
  <conditionalFormatting sqref="AG21:AG26">
    <cfRule type="cellIs" dxfId="1625" priority="51" operator="lessThan">
      <formula>0.8</formula>
    </cfRule>
  </conditionalFormatting>
  <conditionalFormatting sqref="AG28">
    <cfRule type="cellIs" dxfId="1624" priority="53" operator="lessThan">
      <formula>0.8</formula>
    </cfRule>
  </conditionalFormatting>
  <conditionalFormatting sqref="AG35:AG42">
    <cfRule type="cellIs" dxfId="1623" priority="49" operator="lessThan">
      <formula>0.8</formula>
    </cfRule>
  </conditionalFormatting>
  <conditionalFormatting sqref="AE62">
    <cfRule type="cellIs" dxfId="1622" priority="45" operator="lessThan">
      <formula>0</formula>
    </cfRule>
  </conditionalFormatting>
  <conditionalFormatting sqref="AF62">
    <cfRule type="cellIs" dxfId="1621" priority="43" operator="greaterThan">
      <formula>1</formula>
    </cfRule>
    <cfRule type="cellIs" dxfId="1620" priority="44" operator="lessThan">
      <formula>0.8</formula>
    </cfRule>
  </conditionalFormatting>
  <conditionalFormatting sqref="O17:O18">
    <cfRule type="cellIs" dxfId="1619" priority="38" operator="greaterThan">
      <formula>0</formula>
    </cfRule>
  </conditionalFormatting>
  <conditionalFormatting sqref="P17:P18">
    <cfRule type="cellIs" dxfId="1618" priority="41" operator="lessThan">
      <formula>0</formula>
    </cfRule>
  </conditionalFormatting>
  <conditionalFormatting sqref="Q17:Q18">
    <cfRule type="cellIs" dxfId="1617" priority="39" operator="greaterThan">
      <formula>1</formula>
    </cfRule>
    <cfRule type="cellIs" dxfId="1616" priority="40" operator="lessThan">
      <formula>0.8</formula>
    </cfRule>
  </conditionalFormatting>
  <conditionalFormatting sqref="R17:R18 AG17:AG18">
    <cfRule type="cellIs" dxfId="1615" priority="42" operator="lessThan">
      <formula>0.8</formula>
    </cfRule>
  </conditionalFormatting>
  <conditionalFormatting sqref="O10:O13">
    <cfRule type="cellIs" dxfId="1614" priority="34" operator="greaterThan">
      <formula>0</formula>
    </cfRule>
  </conditionalFormatting>
  <conditionalFormatting sqref="P10:P13">
    <cfRule type="cellIs" dxfId="1613" priority="37" operator="lessThan">
      <formula>0</formula>
    </cfRule>
  </conditionalFormatting>
  <conditionalFormatting sqref="Q10:Q13">
    <cfRule type="cellIs" dxfId="1612" priority="35" operator="greaterThan">
      <formula>1</formula>
    </cfRule>
    <cfRule type="cellIs" dxfId="1611" priority="36" operator="lessThan">
      <formula>0.8</formula>
    </cfRule>
  </conditionalFormatting>
  <conditionalFormatting sqref="O55">
    <cfRule type="cellIs" dxfId="1610" priority="29" operator="greaterThan">
      <formula>0</formula>
    </cfRule>
  </conditionalFormatting>
  <conditionalFormatting sqref="P55">
    <cfRule type="cellIs" dxfId="1609" priority="32" operator="lessThan">
      <formula>0</formula>
    </cfRule>
  </conditionalFormatting>
  <conditionalFormatting sqref="Q55">
    <cfRule type="cellIs" dxfId="1608" priority="30" operator="greaterThan">
      <formula>1</formula>
    </cfRule>
    <cfRule type="cellIs" dxfId="1607" priority="31" operator="lessThan">
      <formula>0.8</formula>
    </cfRule>
  </conditionalFormatting>
  <conditionalFormatting sqref="R55 AG55">
    <cfRule type="cellIs" dxfId="1606" priority="33" operator="lessThan">
      <formula>0.8</formula>
    </cfRule>
  </conditionalFormatting>
  <conditionalFormatting sqref="O59">
    <cfRule type="cellIs" dxfId="1605" priority="24" operator="greaterThan">
      <formula>0</formula>
    </cfRule>
  </conditionalFormatting>
  <conditionalFormatting sqref="P59 AE59">
    <cfRule type="cellIs" dxfId="1604" priority="27" operator="lessThan">
      <formula>0</formula>
    </cfRule>
  </conditionalFormatting>
  <conditionalFormatting sqref="Q59 AF59">
    <cfRule type="cellIs" dxfId="1603" priority="25" operator="greaterThan">
      <formula>1</formula>
    </cfRule>
    <cfRule type="cellIs" dxfId="1602" priority="26" operator="lessThan">
      <formula>0.8</formula>
    </cfRule>
  </conditionalFormatting>
  <conditionalFormatting sqref="R59 AG59">
    <cfRule type="cellIs" dxfId="1601" priority="28" operator="lessThan">
      <formula>0.8</formula>
    </cfRule>
  </conditionalFormatting>
  <conditionalFormatting sqref="O69">
    <cfRule type="cellIs" dxfId="1600" priority="19" operator="greaterThan">
      <formula>0</formula>
    </cfRule>
  </conditionalFormatting>
  <conditionalFormatting sqref="P69">
    <cfRule type="cellIs" dxfId="1599" priority="22" operator="lessThan">
      <formula>0</formula>
    </cfRule>
  </conditionalFormatting>
  <conditionalFormatting sqref="Q69">
    <cfRule type="cellIs" dxfId="1598" priority="20" operator="greaterThan">
      <formula>1</formula>
    </cfRule>
    <cfRule type="cellIs" dxfId="1597" priority="21" operator="lessThan">
      <formula>0.8</formula>
    </cfRule>
  </conditionalFormatting>
  <conditionalFormatting sqref="R69">
    <cfRule type="cellIs" dxfId="1596" priority="23" operator="lessThan">
      <formula>0.8</formula>
    </cfRule>
  </conditionalFormatting>
  <conditionalFormatting sqref="O19">
    <cfRule type="cellIs" dxfId="1595" priority="14" operator="greaterThan">
      <formula>0</formula>
    </cfRule>
  </conditionalFormatting>
  <conditionalFormatting sqref="P19">
    <cfRule type="cellIs" dxfId="1594" priority="17" operator="lessThan">
      <formula>0</formula>
    </cfRule>
  </conditionalFormatting>
  <conditionalFormatting sqref="Q19">
    <cfRule type="cellIs" dxfId="1593" priority="15" operator="greaterThan">
      <formula>1</formula>
    </cfRule>
    <cfRule type="cellIs" dxfId="1592" priority="16" operator="lessThan">
      <formula>0.8</formula>
    </cfRule>
  </conditionalFormatting>
  <conditionalFormatting sqref="R19 AG19">
    <cfRule type="cellIs" dxfId="1591" priority="18" operator="lessThan">
      <formula>0.8</formula>
    </cfRule>
  </conditionalFormatting>
  <conditionalFormatting sqref="O58">
    <cfRule type="cellIs" dxfId="1590" priority="9" operator="greaterThan">
      <formula>0</formula>
    </cfRule>
  </conditionalFormatting>
  <conditionalFormatting sqref="P58 AE58">
    <cfRule type="cellIs" dxfId="1589" priority="12" operator="lessThan">
      <formula>0</formula>
    </cfRule>
  </conditionalFormatting>
  <conditionalFormatting sqref="Q58 AF58">
    <cfRule type="cellIs" dxfId="1588" priority="10" operator="greaterThan">
      <formula>1</formula>
    </cfRule>
    <cfRule type="cellIs" dxfId="1587" priority="11" operator="lessThan">
      <formula>0.8</formula>
    </cfRule>
  </conditionalFormatting>
  <conditionalFormatting sqref="R58 AG58">
    <cfRule type="cellIs" dxfId="1586" priority="13" operator="lessThan">
      <formula>0.8</formula>
    </cfRule>
  </conditionalFormatting>
  <conditionalFormatting sqref="P8">
    <cfRule type="cellIs" dxfId="1585" priority="8" operator="lessThan">
      <formula>0</formula>
    </cfRule>
  </conditionalFormatting>
  <conditionalFormatting sqref="P20">
    <cfRule type="cellIs" dxfId="1584" priority="7" operator="lessThan">
      <formula>0</formula>
    </cfRule>
  </conditionalFormatting>
  <conditionalFormatting sqref="P27">
    <cfRule type="cellIs" dxfId="1583" priority="6" operator="lessThan">
      <formula>0</formula>
    </cfRule>
  </conditionalFormatting>
  <conditionalFormatting sqref="P34">
    <cfRule type="cellIs" dxfId="1582" priority="5" operator="lessThan">
      <formula>0</formula>
    </cfRule>
  </conditionalFormatting>
  <conditionalFormatting sqref="P48">
    <cfRule type="cellIs" dxfId="1581" priority="4" operator="lessThan">
      <formula>0</formula>
    </cfRule>
  </conditionalFormatting>
  <conditionalFormatting sqref="P56">
    <cfRule type="cellIs" dxfId="1580" priority="3" operator="lessThan">
      <formula>0</formula>
    </cfRule>
  </conditionalFormatting>
  <conditionalFormatting sqref="P62">
    <cfRule type="cellIs" dxfId="1579" priority="2" operator="lessThan">
      <formula>0</formula>
    </cfRule>
  </conditionalFormatting>
  <conditionalFormatting sqref="P70">
    <cfRule type="cellIs" dxfId="1578" priority="1" operator="lessThan">
      <formula>0</formula>
    </cfRule>
  </conditionalFormatting>
  <dataValidations count="1">
    <dataValidation type="list" allowBlank="1" showInputMessage="1" showErrorMessage="1" sqref="AB8 AA5:AB7 AB61 AA8:AA61 AB10:AB57 AA62:AB7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D10" sqref="D10:J1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2655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2656</v>
      </c>
      <c r="C3" s="555" t="str">
        <f>TEXT('0527 4度C'!A2,"yyyy.mm.ddaaaa")</f>
        <v>2026.05.27星期三</v>
      </c>
      <c r="D3" s="556"/>
      <c r="E3" s="54" t="s">
        <v>2657</v>
      </c>
      <c r="F3" s="557">
        <f>'0527 4度C'!D1</f>
        <v>181067</v>
      </c>
      <c r="G3" s="558"/>
      <c r="H3" s="54" t="s">
        <v>2658</v>
      </c>
      <c r="I3" s="559">
        <f>'0527 4度C'!F1</f>
        <v>6180335.549999998</v>
      </c>
      <c r="J3" s="560"/>
      <c r="K3" s="55"/>
      <c r="L3" s="56"/>
      <c r="M3" s="57"/>
      <c r="N3" s="57"/>
    </row>
    <row r="4" spans="2:17" ht="28.5" customHeight="1">
      <c r="B4" s="561" t="s">
        <v>2659</v>
      </c>
      <c r="C4" s="547" t="s">
        <v>132</v>
      </c>
      <c r="D4" s="548"/>
      <c r="E4" s="564" t="s">
        <v>2660</v>
      </c>
      <c r="F4" s="565"/>
      <c r="G4" s="564" t="s">
        <v>2661</v>
      </c>
      <c r="H4" s="565"/>
      <c r="I4" s="564" t="s">
        <v>2662</v>
      </c>
      <c r="J4" s="565"/>
      <c r="K4" s="545" t="s">
        <v>2663</v>
      </c>
      <c r="L4" s="546"/>
      <c r="M4" s="546" t="s">
        <v>2664</v>
      </c>
      <c r="N4" s="546"/>
    </row>
    <row r="5" spans="2:17" ht="28.5" customHeight="1">
      <c r="B5" s="562"/>
      <c r="C5" s="547" t="s">
        <v>2665</v>
      </c>
      <c r="D5" s="548"/>
      <c r="E5" s="547" t="s">
        <v>637</v>
      </c>
      <c r="F5" s="548"/>
      <c r="G5" s="549" t="s">
        <v>2666</v>
      </c>
      <c r="H5" s="550"/>
      <c r="I5" s="551" t="s">
        <v>2667</v>
      </c>
      <c r="J5" s="552"/>
      <c r="K5" s="58" t="s">
        <v>2668</v>
      </c>
      <c r="L5" s="59" t="s">
        <v>2669</v>
      </c>
      <c r="M5" s="58" t="s">
        <v>2670</v>
      </c>
      <c r="N5" s="59" t="s">
        <v>144</v>
      </c>
    </row>
    <row r="6" spans="2:17" ht="28.5" customHeight="1">
      <c r="B6" s="562"/>
      <c r="C6" s="547" t="s">
        <v>145</v>
      </c>
      <c r="D6" s="548"/>
      <c r="E6" s="539">
        <f>AVERAGE(D13:M13)</f>
        <v>153.39522946467781</v>
      </c>
      <c r="F6" s="540">
        <f>AVERAGE(D31:O31,D13:J13)</f>
        <v>159.83886444989545</v>
      </c>
      <c r="G6" s="541">
        <f>AVERAGE(D13:J13)</f>
        <v>159.83886444989545</v>
      </c>
      <c r="H6" s="542"/>
      <c r="I6" s="541">
        <f>AVERAGE(K13:M13)</f>
        <v>138.36008116583656</v>
      </c>
      <c r="J6" s="542"/>
      <c r="K6" s="543">
        <f>'0527 4度C'!Y2</f>
        <v>0</v>
      </c>
      <c r="L6" s="528">
        <f>'0527 4度C'!Z2</f>
        <v>0</v>
      </c>
      <c r="M6" s="544">
        <f>'0527 4度C'!AC2</f>
        <v>56</v>
      </c>
      <c r="N6" s="528">
        <f>'0527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147.09963777547677</v>
      </c>
      <c r="F7" s="532">
        <f>AVERAGE(D32:O32,D14:J14)</f>
        <v>153.40675671637482</v>
      </c>
      <c r="G7" s="533">
        <f>AVERAGE(D14:J14)</f>
        <v>153.40675671637482</v>
      </c>
      <c r="H7" s="534"/>
      <c r="I7" s="533">
        <f>AVERAGE(K14:M14)</f>
        <v>132.38302691338129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0.95801604937824991</v>
      </c>
      <c r="F8" s="536">
        <f>AVERAGE(D15:J15,D33:O33)</f>
        <v>0.95853971317556064</v>
      </c>
      <c r="G8" s="537">
        <f>AVERAGE(D15:J15)</f>
        <v>0.95853971317556064</v>
      </c>
      <c r="H8" s="538"/>
      <c r="I8" s="537">
        <f>AVERAGE(K15:M15)</f>
        <v>0.9567941671845247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2671</v>
      </c>
      <c r="N9" s="57"/>
      <c r="O9" s="57"/>
      <c r="P9" s="57"/>
      <c r="Q9" s="57"/>
    </row>
    <row r="10" spans="2:17" ht="30" customHeight="1">
      <c r="B10" s="511" t="s">
        <v>2672</v>
      </c>
      <c r="C10" s="512"/>
      <c r="D10" s="513" t="s">
        <v>2673</v>
      </c>
      <c r="E10" s="514"/>
      <c r="F10" s="514"/>
      <c r="G10" s="514"/>
      <c r="H10" s="514"/>
      <c r="I10" s="514"/>
      <c r="J10" s="515"/>
      <c r="K10" s="516" t="s">
        <v>2674</v>
      </c>
      <c r="L10" s="517"/>
      <c r="M10" s="518"/>
      <c r="P10" s="63"/>
      <c r="Q10" s="63"/>
    </row>
    <row r="11" spans="2:17" ht="17.25" customHeight="1">
      <c r="B11" s="519" t="s">
        <v>2675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2676</v>
      </c>
      <c r="C13" s="70" t="s">
        <v>2677</v>
      </c>
      <c r="D13" s="71">
        <f>SUMIFS('0527 4度C'!$K:$K,'0527 4度C'!$A:$A,"新豐6線",'0527 4度C'!$B:$B,"平均")</f>
        <v>130.43478260869566</v>
      </c>
      <c r="E13" s="72">
        <f>SUMIFS('0527 4度C'!$K:$K,'0527 4度C'!$A:$A,"新豐2線",'0527 4度C'!$B:$B,"平均")</f>
        <v>86.956521739130437</v>
      </c>
      <c r="F13" s="73">
        <f>SUMIFS('0527 4度C'!$K:$K,'0527 4度C'!$A:$A,"新豐5線",'0527 4度C'!$B:$B,"平均")</f>
        <v>93.333333333333329</v>
      </c>
      <c r="G13" s="73">
        <f>SUMIFS('0527 4度C'!$K:$K,'0527 4度C'!$A:$A,"新豐7線",'0527 4度C'!$B:$B,"平均")</f>
        <v>123.80952380952381</v>
      </c>
      <c r="H13" s="73">
        <f>SUMIFS('0527 4度C'!$K:$K,'0527 4度C'!$A:$A,"新豐3線",'0527 4度C'!$B:$B,"平均")</f>
        <v>255.81395348837211</v>
      </c>
      <c r="I13" s="73">
        <f>SUMIFS('0527 4度C'!$K:$K,'0527 4度C'!$A:$A,"新豐1線",'0527 4度C'!$B:$B,"平均")</f>
        <v>109.375</v>
      </c>
      <c r="J13" s="74">
        <f>SUMIFS('0527 4度C'!$K:$K,'0527 4度C'!$A:$A,"新豐10線",'0527 4度C'!$B:$B,"平均")</f>
        <v>319.14893617021278</v>
      </c>
      <c r="K13" s="75">
        <f>SUMIFS('0527 4度C'!$K:$K,'0527 4度C'!$A:$A,"新豐8線",'0527 4度C'!$B:$B,"平均")</f>
        <v>138.46153846153848</v>
      </c>
      <c r="L13" s="76">
        <f>SUMIFS('0527 4度C'!$K:$K,'0527 4度C'!$A:$A,"新豐9線",'0527 4度C'!$B:$B,"平均")</f>
        <v>126.61870503597122</v>
      </c>
      <c r="M13" s="74">
        <f>SUMIFS('0527 4度C'!$K:$K,'0527 4度C'!$A:$A,"新豐4線",'0527 4度C'!$B:$B,"平均")</f>
        <v>150</v>
      </c>
    </row>
    <row r="14" spans="2:17" ht="39.6" customHeight="1">
      <c r="B14" s="524"/>
      <c r="C14" s="77" t="s">
        <v>2678</v>
      </c>
      <c r="D14" s="78">
        <f>SUMIFS('0527 4度C'!$N:$N,'0527 4度C'!$A:$A,"新豐6線",'0527 4度C'!$B:$B,"平均")</f>
        <v>124.4576776623805</v>
      </c>
      <c r="E14" s="79">
        <f>SUMIFS('0527 4度C'!$N:$N,'0527 4度C'!$A:$A,"新豐2線",'0527 4度C'!$B:$B,"平均")</f>
        <v>83.170983811909508</v>
      </c>
      <c r="F14" s="79">
        <f>SUMIFS('0527 4度C'!$N:$N,'0527 4度C'!$A:$A,"新豐5線",'0527 4度C'!$B:$B,"平均")</f>
        <v>89.468582731338159</v>
      </c>
      <c r="G14" s="79">
        <f>SUMIFS('0527 4度C'!$N:$N,'0527 4度C'!$A:$A,"新豐7線",'0527 4度C'!$B:$B,"平均")</f>
        <v>118.83155748148576</v>
      </c>
      <c r="H14" s="79">
        <f>SUMIFS('0527 4度C'!$N:$N,'0527 4度C'!$A:$A,"新豐3線",'0527 4度C'!$B:$B,"平均")</f>
        <v>245.2109144337862</v>
      </c>
      <c r="I14" s="79">
        <f>SUMIFS('0527 4度C'!$N:$N,'0527 4度C'!$A:$A,"新豐1線",'0527 4度C'!$B:$B,"平均")</f>
        <v>104.67529313533988</v>
      </c>
      <c r="J14" s="80">
        <f>SUMIFS('0527 4度C'!$N:$N,'0527 4度C'!$A:$A,"新豐10線",'0527 4度C'!$B:$B,"平均")</f>
        <v>308.03228775838369</v>
      </c>
      <c r="K14" s="81">
        <f>SUMIFS('0527 4度C'!$N:$N,'0527 4度C'!$A:$A,"新豐8線",'0527 4度C'!$B:$B,"平均")</f>
        <v>132.47712675175057</v>
      </c>
      <c r="L14" s="82">
        <f>SUMIFS('0527 4度C'!$N:$N,'0527 4度C'!$A:$A,"新豐9線",'0527 4度C'!$B:$B,"平均")</f>
        <v>121.13421451456507</v>
      </c>
      <c r="M14" s="80">
        <f>SUMIFS('0527 4度C'!$N:$N,'0527 4度C'!$A:$A,"新豐4線",'0527 4度C'!$B:$B,"平均")</f>
        <v>143.53773947382817</v>
      </c>
    </row>
    <row r="15" spans="2:17" ht="40.15" customHeight="1">
      <c r="B15" s="525"/>
      <c r="C15" s="83" t="s">
        <v>2679</v>
      </c>
      <c r="D15" s="84">
        <f t="shared" ref="D15:M15" si="0">D14/D13</f>
        <v>0.95417552874491718</v>
      </c>
      <c r="E15" s="85">
        <f t="shared" si="0"/>
        <v>0.95646631383695935</v>
      </c>
      <c r="F15" s="85">
        <f t="shared" si="0"/>
        <v>0.95859195783576601</v>
      </c>
      <c r="G15" s="85">
        <f t="shared" si="0"/>
        <v>0.95979334888892343</v>
      </c>
      <c r="H15" s="85">
        <f t="shared" si="0"/>
        <v>0.9585517564229824</v>
      </c>
      <c r="I15" s="85">
        <f t="shared" si="0"/>
        <v>0.95703125152310753</v>
      </c>
      <c r="J15" s="86">
        <f t="shared" si="0"/>
        <v>0.9651678349762689</v>
      </c>
      <c r="K15" s="84">
        <f t="shared" si="0"/>
        <v>0.95677924876264286</v>
      </c>
      <c r="L15" s="85">
        <f t="shared" si="0"/>
        <v>0.95668498963207649</v>
      </c>
      <c r="M15" s="86">
        <f t="shared" si="0"/>
        <v>0.95691826315885442</v>
      </c>
    </row>
    <row r="16" spans="2:17" ht="17.25" customHeight="1">
      <c r="B16" s="526" t="s">
        <v>2680</v>
      </c>
      <c r="C16" s="87" t="s">
        <v>2681</v>
      </c>
      <c r="D16" s="88">
        <f>VLOOKUP("新豐6線",'0527 4度C'!$A:$T,19,0)</f>
        <v>0.70833333333333337</v>
      </c>
      <c r="E16" s="89">
        <f>VLOOKUP("新豐2線",'0527 4度C'!$A:$T,19,0)</f>
        <v>8.3333333333333329E-2</v>
      </c>
      <c r="F16" s="89">
        <f>VLOOKUP("新豐5線",'0527 4度C'!$A:$T,19,0)</f>
        <v>0.20833333333333334</v>
      </c>
      <c r="G16" s="89">
        <f>VLOOKUP("新豐7線",'0527 4度C'!$A:$T,19,0)</f>
        <v>0.20833333333333334</v>
      </c>
      <c r="H16" s="89">
        <f>VLOOKUP("新豐3線",'0527 4度C'!$A:$T,19,0)</f>
        <v>8.3333333333333329E-2</v>
      </c>
      <c r="I16" s="89">
        <f>VLOOKUP("新豐1線",'0527 4度C'!$A:$T,19,0)</f>
        <v>0.20833333333333334</v>
      </c>
      <c r="J16" s="90">
        <f>VLOOKUP("新豐10線",'0527 4度C'!$A:$T,19,0)</f>
        <v>0.20833333333333334</v>
      </c>
      <c r="K16" s="91">
        <f>VLOOKUP("新豐8線",'0527 4度C'!$A:$T,19,0)</f>
        <v>8.3333333333333329E-2</v>
      </c>
      <c r="L16" s="92">
        <f>VLOOKUP("新豐9線",'0527 4度C'!$A:$T,19,0)</f>
        <v>8.3333333333333329E-2</v>
      </c>
      <c r="M16" s="93">
        <f>VLOOKUP("新豐4線",'0527 4度C'!$A:$T,19,0)</f>
        <v>8.3333333333333329E-2</v>
      </c>
    </row>
    <row r="17" spans="2:13" ht="17.25" customHeight="1">
      <c r="B17" s="527"/>
      <c r="C17" s="87" t="s">
        <v>2682</v>
      </c>
      <c r="D17" s="91">
        <f>LOOKUP(2,1/(('0527 4度C'!$A:$A="新豐6線")*('0527 4度C'!$T:$T&lt;&gt;"")),'0527 4度C'!$T:$T)</f>
        <v>0.84583333333333344</v>
      </c>
      <c r="E17" s="89">
        <f>LOOKUP(2,1/(('0527 4度C'!$A:$A="新豐2線")*('0527 4度C'!$T:$T&lt;&gt;"")),'0527 4度C'!$T:$T)</f>
        <v>0.66388888888888886</v>
      </c>
      <c r="F17" s="89">
        <f>LOOKUP(2,1/(('0527 4度C'!$A:$A="新豐5線")*('0527 4度C'!$T:$T&lt;&gt;"")),'0527 4度C'!$T:$T)</f>
        <v>0.81805555555555554</v>
      </c>
      <c r="G17" s="89">
        <f>LOOKUP(2,1/(('0527 4度C'!$A:$A="新豐7線")*('0527 4度C'!$T:$T&lt;&gt;"")),'0527 4度C'!$T:$T)</f>
        <v>0.84375</v>
      </c>
      <c r="H17" s="89">
        <f>LOOKUP(2,1/(('0527 4度C'!$A:$A="新豐3線")*('0527 4度C'!$T:$T&lt;&gt;"")),'0527 4度C'!$T:$T)</f>
        <v>0.4104166666666666</v>
      </c>
      <c r="I17" s="89">
        <f>LOOKUP(2,1/(('0527 4度C'!$A:$A="新豐1線")*('0527 4度C'!$T:$T&lt;&gt;"")),'0527 4度C'!$T:$T)</f>
        <v>0.83263888888888882</v>
      </c>
      <c r="J17" s="90">
        <f>LOOKUP(2,1/(('0527 4度C'!$A:$A="新豐10線")*('0527 4度C'!$T:$T&lt;&gt;"")),'0527 4度C'!$T:$T)</f>
        <v>0.40208333333333329</v>
      </c>
      <c r="K17" s="88">
        <f>LOOKUP(2,1/(('0527 4度C'!$A:$A="新豐8線")*('0527 4度C'!$T:$T&lt;&gt;"")),'0527 4度C'!$T:$T)</f>
        <v>0.68541666666666656</v>
      </c>
      <c r="L17" s="89">
        <f>LOOKUP(2,1/(('0527 4度C'!$A:$A="新豐9線")*('0527 4度C'!$T:$T&lt;&gt;"")),'0527 4度C'!$T:$T)</f>
        <v>0.73055555555555562</v>
      </c>
      <c r="M17" s="90">
        <f>LOOKUP(2,1/(('0527 4度C'!$A:$A="新豐4線")*('0527 4度C'!$T:$T&lt;&gt;"")),'0527 4度C'!$T:$T)</f>
        <v>0.69027777777777755</v>
      </c>
    </row>
    <row r="18" spans="2:13" ht="17.25" customHeight="1">
      <c r="B18" s="505" t="s">
        <v>2683</v>
      </c>
      <c r="C18" s="94" t="s">
        <v>2684</v>
      </c>
      <c r="D18" s="95">
        <f>SUMIFS('0527 4度C'!$Y:$Y,'0527 4度C'!$A:$A,"新豐6線",'0527 4度C'!$B:$B,"平均")</f>
        <v>0</v>
      </c>
      <c r="E18" s="96">
        <f>SUMIFS('0527 4度C'!$Y:$Y,'0527 4度C'!$A:$A,"新豐2線",'0527 4度C'!$B:$B,"平均")</f>
        <v>0</v>
      </c>
      <c r="F18" s="96">
        <f>SUMIFS('0527 4度C'!$Y:$Y,'0527 4度C'!$A:$A,"新豐5線",'0527 4度C'!$B:$B,"平均")</f>
        <v>0</v>
      </c>
      <c r="G18" s="96">
        <f>SUMIFS('0527 4度C'!$Y:$Y,'0527 4度C'!$A:$A,"新豐7線",'0527 4度C'!$B:$B,"平均")</f>
        <v>0</v>
      </c>
      <c r="H18" s="96">
        <f>SUMIFS('0527 4度C'!$Y:$Y,'0527 4度C'!$A:$A,"新豐3線",'0527 4度C'!$B:$B,"平均")</f>
        <v>0</v>
      </c>
      <c r="I18" s="96">
        <f>SUMIFS('0527 4度C'!$Y:$Y,'0527 4度C'!$A:$A,"新豐1線",'0527 4度C'!$B:$B,"平均")</f>
        <v>0</v>
      </c>
      <c r="J18" s="97">
        <f>SUMIFS('0527 4度C'!$Y:$Y,'0527 4度C'!$A:$A,"新豐10線",'0527 4度C'!$B:$B,"平均")</f>
        <v>0</v>
      </c>
      <c r="K18" s="98">
        <f>SUMIFS('0527 4度C'!$Y:$Y,'0527 4度C'!$A:$A,"新豐8線",'0527 4度C'!$B:$B,"平均")</f>
        <v>0</v>
      </c>
      <c r="L18" s="96">
        <f>SUMIFS('0527 4度C'!$Y:$Y,'0527 4度C'!$A:$A,"新豐9線",'0527 4度C'!$B:$B,"平均")</f>
        <v>0</v>
      </c>
      <c r="M18" s="97">
        <f>SUMIFS('0527 4度C'!$Y:$Y,'0527 4度C'!$A:$A,"新豐4線",'0527 4度C'!$B:$B,"平均")</f>
        <v>0</v>
      </c>
    </row>
    <row r="19" spans="2:13" ht="17.25" customHeight="1">
      <c r="B19" s="506"/>
      <c r="C19" s="94" t="s">
        <v>2685</v>
      </c>
      <c r="D19" s="95">
        <f>SUMIFS('0527 4度C'!$Z:$Z,'0527 4度C'!$A:$A,"新豐6線",'0527 4度C'!$B:$B,"平均")</f>
        <v>0</v>
      </c>
      <c r="E19" s="96">
        <f>SUMIFS('0527 4度C'!$Z:$Z,'0527 4度C'!$A:$A,"新豐2線",'0527 4度C'!$B:$B,"平均")</f>
        <v>0</v>
      </c>
      <c r="F19" s="96">
        <f>SUMIFS('0527 4度C'!$Z:$Z,'0527 4度C'!$A:$A,"新豐5線",'0527 4度C'!$B:$B,"平均")</f>
        <v>0</v>
      </c>
      <c r="G19" s="96">
        <f>SUMIFS('0527 4度C'!$Z:$Z,'0527 4度C'!$A:$A,"新豐7線",'0527 4度C'!$B:$B,"平均")</f>
        <v>0</v>
      </c>
      <c r="H19" s="96">
        <f>SUMIFS('0527 4度C'!$Z:$Z,'0527 4度C'!$A:$A,"新豐3線",'0527 4度C'!$B:$B,"平均")</f>
        <v>0</v>
      </c>
      <c r="I19" s="96">
        <f>SUMIFS('0527 4度C'!$Z:$Z,'0527 4度C'!$A:$A,"新豐1線",'0527 4度C'!$B:$B,"平均")</f>
        <v>0</v>
      </c>
      <c r="J19" s="97">
        <f>SUMIFS('0527 4度C'!$Z:$Z,'0527 4度C'!$A:$A,"新豐10線",'0527 4度C'!$B:$B,"平均")</f>
        <v>0</v>
      </c>
      <c r="K19" s="98">
        <f>SUMIFS('0527 4度C'!$Z:$Z,'0527 4度C'!$A:$A,"新豐8線",'0527 4度C'!$B:$B,"平均")</f>
        <v>0</v>
      </c>
      <c r="L19" s="96">
        <f>SUMIFS('0527 4度C'!$Z:$Z,'0527 4度C'!$A:$A,"新豐9線",'0527 4度C'!$B:$B,"平均")</f>
        <v>0</v>
      </c>
      <c r="M19" s="97">
        <f>SUMIFS('0527 4度C'!$Z:$Z,'0527 4度C'!$A:$A,"新豐4線",'0527 4度C'!$B:$B,"平均")</f>
        <v>0</v>
      </c>
    </row>
    <row r="20" spans="2:13" ht="17.25" customHeight="1">
      <c r="B20" s="505" t="s">
        <v>2686</v>
      </c>
      <c r="C20" s="94" t="s">
        <v>2684</v>
      </c>
      <c r="D20" s="95">
        <f>SUMIFS('0527 4度C'!$AC:$AC,'0527 4度C'!$A:$A,"新豐6線",'0527 4度C'!$B:$B,"平均")</f>
        <v>3</v>
      </c>
      <c r="E20" s="96">
        <f>SUMIFS('0527 4度C'!$AC:$AC,'0527 4度C'!$A:$A,"新豐2線",'0527 4度C'!$B:$B,"平均")</f>
        <v>4</v>
      </c>
      <c r="F20" s="96">
        <f>SUMIFS('0527 4度C'!$AC:$AC,'0527 4度C'!$A:$A,"新豐5線",'0527 4度C'!$B:$B,"平均")</f>
        <v>4</v>
      </c>
      <c r="G20" s="96">
        <f>SUMIFS('0527 4度C'!$AC:$AC,'0527 4度C'!$A:$A,"新豐7線",'0527 4度C'!$B:$B,"平均")</f>
        <v>7</v>
      </c>
      <c r="H20" s="96">
        <f>SUMIFS('0527 4度C'!$AC:$AC,'0527 4度C'!$A:$A,"新豐3線",'0527 4度C'!$B:$B,"平均")</f>
        <v>4</v>
      </c>
      <c r="I20" s="96">
        <f>SUMIFS('0527 4度C'!$AC:$AC,'0527 4度C'!$A:$A,"新豐1線",'0527 4度C'!$B:$B,"平均")</f>
        <v>7</v>
      </c>
      <c r="J20" s="97">
        <f>SUMIFS('0527 4度C'!$AC:$AC,'0527 4度C'!$A:$A,"新豐10線",'0527 4度C'!$B:$B,"平均")</f>
        <v>5</v>
      </c>
      <c r="K20" s="98">
        <f>SUMIFS('0527 4度C'!$AC:$AC,'0527 4度C'!$A:$A,"新豐8線",'0527 4度C'!$B:$B,"平均")</f>
        <v>6</v>
      </c>
      <c r="L20" s="96">
        <f>SUMIFS('0527 4度C'!$AC:$AC,'0527 4度C'!$A:$A,"新豐9線",'0527 4度C'!$B:$B,"平均")</f>
        <v>8</v>
      </c>
      <c r="M20" s="97">
        <f>SUMIFS('0527 4度C'!$AC:$AC,'0527 4度C'!$A:$A,"新豐4線",'0527 4度C'!$B:$B,"平均")</f>
        <v>8</v>
      </c>
    </row>
    <row r="21" spans="2:13" ht="17.25" customHeight="1">
      <c r="B21" s="506"/>
      <c r="C21" s="94" t="s">
        <v>2687</v>
      </c>
      <c r="D21" s="95">
        <f>SUMIFS('0527 4度C'!$AD:$AD,'0527 4度C'!$A:$A,"新豐6線",'0527 4度C'!$B:$B,"平均")</f>
        <v>0</v>
      </c>
      <c r="E21" s="96">
        <f>SUMIFS('0527 4度C'!$AD:$AD,'0527 4度C'!$A:$A,"新豐2線",'0527 4度C'!$B:$B,"平均")</f>
        <v>0</v>
      </c>
      <c r="F21" s="96">
        <f>SUMIFS('0527 4度C'!$AD:$AD,'0527 4度C'!$A:$A,"新豐5線",'0527 4度C'!$B:$B,"平均")</f>
        <v>0</v>
      </c>
      <c r="G21" s="96">
        <f>SUMIFS('0527 4度C'!$AD:$AD,'0527 4度C'!$A:$A,"新豐7線",'0527 4度C'!$B:$B,"平均")</f>
        <v>0</v>
      </c>
      <c r="H21" s="96">
        <f>SUMIFS('0527 4度C'!$AD:$AD,'0527 4度C'!$A:$A,"新豐3線",'0527 4度C'!$B:$B,"平均")</f>
        <v>0</v>
      </c>
      <c r="I21" s="96">
        <f>SUMIFS('0527 4度C'!$AD:$AD,'0527 4度C'!$A:$A,"新豐1線",'0527 4度C'!$B:$B,"平均")</f>
        <v>0</v>
      </c>
      <c r="J21" s="97">
        <f>SUMIFS('0527 4度C'!$AD:$AD,'0527 4度C'!$A:$A,"新豐10線",'0527 4度C'!$B:$B,"平均")</f>
        <v>0</v>
      </c>
      <c r="K21" s="98">
        <f>SUMIFS('0527 4度C'!$AD:$AD,'0527 4度C'!$A:$A,"新豐8線",'0527 4度C'!$B:$B,"平均")</f>
        <v>0</v>
      </c>
      <c r="L21" s="96">
        <f>SUMIFS('0527 4度C'!$AD:$AD,'0527 4度C'!$A:$A,"新豐9線",'0527 4度C'!$B:$B,"平均")</f>
        <v>0</v>
      </c>
      <c r="M21" s="97">
        <f>SUMIFS('0527 4度C'!$AD:$AD,'0527 4度C'!$A:$A,"新豐4線",'0527 4度C'!$B:$B,"平均")</f>
        <v>0</v>
      </c>
    </row>
    <row r="22" spans="2:13" ht="17.25" customHeight="1">
      <c r="B22" s="507" t="s">
        <v>2688</v>
      </c>
      <c r="C22" s="508"/>
      <c r="D22" s="99">
        <f>SUMIFS('0527 4度C'!$I:$I,'0527 4度C'!$A:$A,"新豐6線",'0527 4度C'!$B:$B,"平均")</f>
        <v>15.333333333333334</v>
      </c>
      <c r="E22" s="100">
        <f>SUMIFS('0527 4度C'!$I:$I,'0527 4度C'!$A:$A,"新豐2線",'0527 4度C'!$B:$B,"平均")</f>
        <v>17.25</v>
      </c>
      <c r="F22" s="100">
        <f>SUMIFS('0527 4度C'!$I:$I,'0527 4度C'!$A:$A,"新豐5線",'0527 4度C'!$B:$B,"平均")</f>
        <v>18.75</v>
      </c>
      <c r="G22" s="100">
        <f>SUMIFS('0527 4度C'!$I:$I,'0527 4度C'!$A:$A,"新豐7線",'0527 4度C'!$B:$B,"平均")</f>
        <v>15</v>
      </c>
      <c r="H22" s="100">
        <f>SUMIFS('0527 4度C'!$I:$I,'0527 4度C'!$A:$A,"新豐3線",'0527 4度C'!$B:$B,"平均")</f>
        <v>10.75</v>
      </c>
      <c r="I22" s="100">
        <f>SUMIFS('0527 4度C'!$I:$I,'0527 4度C'!$A:$A,"新豐1線",'0527 4度C'!$B:$B,"平均")</f>
        <v>18.285714285714285</v>
      </c>
      <c r="J22" s="101">
        <f>SUMIFS('0527 4度C'!$I:$I,'0527 4度C'!$A:$A,"新豐10線",'0527 4度C'!$B:$B,"平均")</f>
        <v>9.4</v>
      </c>
      <c r="K22" s="99">
        <f>SUMIFS('0527 4度C'!$I:$I,'0527 4度C'!$A:$A,"新豐8線",'0527 4度C'!$B:$B,"平均")</f>
        <v>17.333333333333332</v>
      </c>
      <c r="L22" s="100">
        <f>SUMIFS('0527 4度C'!$I:$I,'0527 4度C'!$A:$A,"新豐9線",'0527 4度C'!$B:$B,"平均")</f>
        <v>17.375</v>
      </c>
      <c r="M22" s="101">
        <f>SUMIFS('0527 4度C'!$I:$I,'0527 4度C'!$A:$A,"新豐4線",'0527 4度C'!$B:$B,"平均")</f>
        <v>16</v>
      </c>
    </row>
    <row r="23" spans="2:13" ht="17.25" customHeight="1">
      <c r="B23" s="507" t="s">
        <v>2689</v>
      </c>
      <c r="C23" s="508"/>
      <c r="D23" s="102" t="s">
        <v>177</v>
      </c>
      <c r="E23" s="103" t="s">
        <v>178</v>
      </c>
      <c r="F23" s="103" t="s">
        <v>2690</v>
      </c>
      <c r="G23" s="103" t="s">
        <v>2690</v>
      </c>
      <c r="H23" s="103" t="s">
        <v>180</v>
      </c>
      <c r="I23" s="103" t="s">
        <v>177</v>
      </c>
      <c r="J23" s="104" t="s">
        <v>180</v>
      </c>
      <c r="K23" s="102" t="s">
        <v>2691</v>
      </c>
      <c r="L23" s="103" t="s">
        <v>2691</v>
      </c>
      <c r="M23" s="104" t="s">
        <v>2691</v>
      </c>
    </row>
    <row r="24" spans="2:13" ht="17.25" customHeight="1">
      <c r="B24" s="507" t="s">
        <v>2692</v>
      </c>
      <c r="C24" s="508"/>
      <c r="D24" s="102"/>
      <c r="E24" s="103"/>
      <c r="F24" s="103" t="s">
        <v>2693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2694</v>
      </c>
      <c r="C25" s="510"/>
      <c r="D25" s="105"/>
      <c r="E25" s="106" t="s">
        <v>2695</v>
      </c>
      <c r="F25" s="503" t="s">
        <v>2696</v>
      </c>
      <c r="G25" s="504"/>
      <c r="H25" s="106" t="s">
        <v>2697</v>
      </c>
      <c r="I25" s="106" t="s">
        <v>2698</v>
      </c>
      <c r="J25" s="107" t="s">
        <v>2697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57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1"/>
  <sheetViews>
    <sheetView zoomScale="80" zoomScaleNormal="80" workbookViewId="0">
      <pane ySplit="4" topLeftCell="A5" activePane="bottomLeft" state="frozen"/>
      <selection activeCell="D10" sqref="D10:J10"/>
      <selection pane="bottomLeft" activeCell="C10" sqref="C10:J1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2699</v>
      </c>
      <c r="D1" s="3">
        <f>SUM(F5:F70)</f>
        <v>181067</v>
      </c>
      <c r="E1" s="439" t="s">
        <v>2700</v>
      </c>
      <c r="F1" s="1">
        <f>SUM(G5:G70)</f>
        <v>6180335.549999998</v>
      </c>
      <c r="G1" s="1" t="s">
        <v>2701</v>
      </c>
      <c r="H1" s="5">
        <f>L8+L13+L47+L55+L18+L61+L33+L42+L26+L70</f>
        <v>155.47738095238094</v>
      </c>
      <c r="I1" s="617" t="s">
        <v>2702</v>
      </c>
      <c r="J1" s="617"/>
      <c r="K1" s="617"/>
      <c r="L1" s="617" t="s">
        <v>344</v>
      </c>
      <c r="M1" s="617"/>
      <c r="N1" s="617"/>
      <c r="O1" s="617" t="s">
        <v>2703</v>
      </c>
      <c r="P1" s="617"/>
      <c r="Q1" s="617"/>
      <c r="R1" s="617"/>
      <c r="S1" s="617" t="s">
        <v>7</v>
      </c>
      <c r="T1" s="617"/>
      <c r="U1" s="617"/>
      <c r="V1" s="617"/>
      <c r="W1" s="617"/>
      <c r="X1" s="617"/>
      <c r="Y1" s="6" t="s">
        <v>2704</v>
      </c>
      <c r="Z1" s="7" t="s">
        <v>2705</v>
      </c>
      <c r="AA1" s="618" t="s">
        <v>2706</v>
      </c>
      <c r="AB1" s="618"/>
      <c r="AC1" s="121" t="s">
        <v>2704</v>
      </c>
      <c r="AD1" s="7" t="s">
        <v>11</v>
      </c>
      <c r="AE1" s="617" t="s">
        <v>12</v>
      </c>
      <c r="AF1" s="619"/>
      <c r="AG1" s="619"/>
    </row>
    <row r="2" spans="1:33" ht="26.25" customHeight="1">
      <c r="A2" s="37">
        <v>46169</v>
      </c>
      <c r="B2" s="38" t="s">
        <v>584</v>
      </c>
      <c r="C2" s="2" t="s">
        <v>2707</v>
      </c>
      <c r="D2" s="10">
        <f>AVERAGE(N8,N13,N47,N55,N18,N61,N26,N33,N42,N70)</f>
        <v>147.09963777547677</v>
      </c>
      <c r="E2" s="11" t="s">
        <v>14</v>
      </c>
      <c r="F2" s="12">
        <f>F1/D1</f>
        <v>34.132865458642371</v>
      </c>
      <c r="G2" s="1" t="s">
        <v>2708</v>
      </c>
      <c r="H2" s="444">
        <f>COUNT(H5:H70)</f>
        <v>9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SUM(Y8+Y13+Y18+Y26+Y33+Y42+Y47+Y55+Y61+Y70)</f>
        <v>0</v>
      </c>
      <c r="Z2" s="14">
        <f>SUM(Z8+Z13+Z18+Z26+Z33+Z42+Z47+Z55+Z61+Z70)</f>
        <v>0</v>
      </c>
      <c r="AA2" s="618"/>
      <c r="AB2" s="618"/>
      <c r="AC2" s="122">
        <v>56</v>
      </c>
      <c r="AD2" s="14">
        <f>SUM(AD8+AD13+AD18+AD26+AD33+AD42+AD47+AD55+AD61+AD70)</f>
        <v>0</v>
      </c>
      <c r="AE2" s="619"/>
      <c r="AF2" s="619"/>
      <c r="AG2" s="619"/>
    </row>
    <row r="3" spans="1:33" ht="40.5" customHeight="1">
      <c r="A3" s="575" t="s">
        <v>2709</v>
      </c>
      <c r="B3" s="575" t="s">
        <v>252</v>
      </c>
      <c r="C3" s="575" t="s">
        <v>253</v>
      </c>
      <c r="D3" s="575"/>
      <c r="E3" s="615" t="s">
        <v>2710</v>
      </c>
      <c r="F3" s="575" t="s">
        <v>2711</v>
      </c>
      <c r="G3" s="615" t="s">
        <v>490</v>
      </c>
      <c r="H3" s="608" t="s">
        <v>257</v>
      </c>
      <c r="I3" s="606" t="s">
        <v>2712</v>
      </c>
      <c r="J3" s="603" t="s">
        <v>2713</v>
      </c>
      <c r="K3" s="613" t="s">
        <v>2707</v>
      </c>
      <c r="L3" s="606" t="s">
        <v>2712</v>
      </c>
      <c r="M3" s="603" t="s">
        <v>2713</v>
      </c>
      <c r="N3" s="613" t="s">
        <v>212</v>
      </c>
      <c r="O3" s="606" t="s">
        <v>2712</v>
      </c>
      <c r="P3" s="613" t="s">
        <v>2707</v>
      </c>
      <c r="Q3" s="604" t="s">
        <v>35</v>
      </c>
      <c r="R3" s="582" t="s">
        <v>2714</v>
      </c>
      <c r="S3" s="614" t="s">
        <v>28</v>
      </c>
      <c r="T3" s="614"/>
      <c r="U3" s="608" t="s">
        <v>29</v>
      </c>
      <c r="V3" s="608" t="s">
        <v>2715</v>
      </c>
      <c r="W3" s="575" t="s">
        <v>2716</v>
      </c>
      <c r="X3" s="575"/>
      <c r="Y3" s="609" t="s">
        <v>2717</v>
      </c>
      <c r="Z3" s="572"/>
      <c r="AA3" s="610" t="s">
        <v>2718</v>
      </c>
      <c r="AB3" s="611"/>
      <c r="AC3" s="609" t="s">
        <v>2719</v>
      </c>
      <c r="AD3" s="572"/>
      <c r="AE3" s="603" t="s">
        <v>2713</v>
      </c>
      <c r="AF3" s="604" t="s">
        <v>2720</v>
      </c>
      <c r="AG3" s="582" t="s">
        <v>2714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443" t="s">
        <v>36</v>
      </c>
      <c r="T4" s="443" t="s">
        <v>37</v>
      </c>
      <c r="U4" s="608"/>
      <c r="V4" s="608"/>
      <c r="W4" s="439" t="s">
        <v>2721</v>
      </c>
      <c r="X4" s="439" t="s">
        <v>377</v>
      </c>
      <c r="Y4" s="437" t="s">
        <v>2722</v>
      </c>
      <c r="Z4" s="437" t="s">
        <v>2723</v>
      </c>
      <c r="AA4" s="612"/>
      <c r="AB4" s="611"/>
      <c r="AC4" s="437" t="s">
        <v>2724</v>
      </c>
      <c r="AD4" s="437" t="s">
        <v>381</v>
      </c>
      <c r="AE4" s="603"/>
      <c r="AF4" s="604"/>
      <c r="AG4" s="582"/>
    </row>
    <row r="5" spans="1:33">
      <c r="A5" s="605" t="s">
        <v>2725</v>
      </c>
      <c r="B5" s="39" t="s">
        <v>74</v>
      </c>
      <c r="C5" s="607" t="s">
        <v>77</v>
      </c>
      <c r="D5" s="607"/>
      <c r="E5" s="39">
        <v>50.67</v>
      </c>
      <c r="F5" s="443">
        <v>1569</v>
      </c>
      <c r="G5" s="439">
        <f t="shared" ref="G5:G7" si="0">E5*F5</f>
        <v>79501.23</v>
      </c>
      <c r="H5" s="48" t="s">
        <v>126</v>
      </c>
      <c r="I5" s="441">
        <v>15</v>
      </c>
      <c r="J5" s="43">
        <v>2000</v>
      </c>
      <c r="K5" s="18">
        <f t="shared" ref="K5:K68" si="1">J5/I5</f>
        <v>133.33333333333334</v>
      </c>
      <c r="L5" s="441">
        <v>15</v>
      </c>
      <c r="M5" s="19">
        <f t="shared" ref="M5:M7" si="2">F5/V5*60</f>
        <v>1921.224489795919</v>
      </c>
      <c r="N5" s="18">
        <f t="shared" ref="N5:N68" si="3">M5/L5</f>
        <v>128.08163265306126</v>
      </c>
      <c r="O5" s="20">
        <f t="shared" ref="O5:O68" si="4">L5-I5</f>
        <v>0</v>
      </c>
      <c r="P5" s="21">
        <f t="shared" ref="P5:P68" si="5">N5-K5</f>
        <v>-5.25170068027208</v>
      </c>
      <c r="Q5" s="438">
        <f t="shared" ref="Q5:Q68" si="6">N5/K5</f>
        <v>0.96061224489795938</v>
      </c>
      <c r="R5" s="573">
        <f>Q8</f>
        <v>0.95417552874491718</v>
      </c>
      <c r="S5" s="49">
        <v>0.70833333333333337</v>
      </c>
      <c r="T5" s="49">
        <v>0.74236111111111114</v>
      </c>
      <c r="U5" s="439"/>
      <c r="V5" s="442">
        <f t="shared" ref="V5:V7" si="7">(T5-S5)*24*60</f>
        <v>48.999999999999986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54" si="8">M5-J5</f>
        <v>-78.775510204081002</v>
      </c>
      <c r="AF5" s="438">
        <f t="shared" ref="AF5:AF68" si="9">M5/J5</f>
        <v>0.96061224489795949</v>
      </c>
      <c r="AG5" s="573">
        <f>AF8</f>
        <v>0.95417552874491718</v>
      </c>
    </row>
    <row r="6" spans="1:33">
      <c r="A6" s="606" t="s">
        <v>45</v>
      </c>
      <c r="B6" s="39" t="s">
        <v>74</v>
      </c>
      <c r="C6" s="607" t="s">
        <v>86</v>
      </c>
      <c r="D6" s="607"/>
      <c r="E6" s="39">
        <v>50.92</v>
      </c>
      <c r="F6" s="443">
        <v>2124</v>
      </c>
      <c r="G6" s="439">
        <f t="shared" si="0"/>
        <v>108154.08</v>
      </c>
      <c r="H6" s="48" t="s">
        <v>126</v>
      </c>
      <c r="I6" s="441">
        <v>15</v>
      </c>
      <c r="J6" s="43">
        <v>2000</v>
      </c>
      <c r="K6" s="18">
        <f t="shared" si="1"/>
        <v>133.33333333333334</v>
      </c>
      <c r="L6" s="441">
        <v>15</v>
      </c>
      <c r="M6" s="19">
        <f t="shared" si="2"/>
        <v>1902.0895522388034</v>
      </c>
      <c r="N6" s="18">
        <f t="shared" si="3"/>
        <v>126.80597014925357</v>
      </c>
      <c r="O6" s="20">
        <f t="shared" si="4"/>
        <v>0</v>
      </c>
      <c r="P6" s="21">
        <f t="shared" si="5"/>
        <v>-6.5273631840797748</v>
      </c>
      <c r="Q6" s="438">
        <f t="shared" si="6"/>
        <v>0.95104477611940175</v>
      </c>
      <c r="R6" s="573"/>
      <c r="S6" s="49">
        <v>0.74652777777777779</v>
      </c>
      <c r="T6" s="49">
        <v>0.79305555555555562</v>
      </c>
      <c r="U6" s="439">
        <f t="shared" ref="U6:U7" si="10">IF(S6=TIME(17,0,0),"",(S6-T5)*24*60)</f>
        <v>5.9999999999999787</v>
      </c>
      <c r="V6" s="442">
        <f t="shared" si="7"/>
        <v>67.000000000000085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-97.910447761196565</v>
      </c>
      <c r="AF6" s="438">
        <f t="shared" si="9"/>
        <v>0.95104477611940175</v>
      </c>
      <c r="AG6" s="573"/>
    </row>
    <row r="7" spans="1:33">
      <c r="A7" s="606" t="s">
        <v>2726</v>
      </c>
      <c r="B7" s="39" t="s">
        <v>74</v>
      </c>
      <c r="C7" s="598" t="s">
        <v>93</v>
      </c>
      <c r="D7" s="599"/>
      <c r="E7" s="39">
        <v>50.98</v>
      </c>
      <c r="F7" s="443">
        <v>2187</v>
      </c>
      <c r="G7" s="439">
        <f t="shared" si="0"/>
        <v>111493.26</v>
      </c>
      <c r="H7" s="48" t="s">
        <v>126</v>
      </c>
      <c r="I7" s="441">
        <v>16</v>
      </c>
      <c r="J7" s="43">
        <v>2000</v>
      </c>
      <c r="K7" s="18">
        <f t="shared" si="1"/>
        <v>125</v>
      </c>
      <c r="L7" s="441">
        <v>16</v>
      </c>
      <c r="M7" s="19">
        <f t="shared" si="2"/>
        <v>1901.7391304347807</v>
      </c>
      <c r="N7" s="18">
        <f t="shared" si="3"/>
        <v>118.85869565217379</v>
      </c>
      <c r="O7" s="20">
        <f t="shared" si="4"/>
        <v>0</v>
      </c>
      <c r="P7" s="21">
        <f t="shared" si="5"/>
        <v>-6.1413043478262068</v>
      </c>
      <c r="Q7" s="438">
        <f t="shared" si="6"/>
        <v>0.9508695652173903</v>
      </c>
      <c r="R7" s="573"/>
      <c r="S7" s="49">
        <v>0.79791666666666672</v>
      </c>
      <c r="T7" s="49">
        <v>0.84583333333333344</v>
      </c>
      <c r="U7" s="439">
        <f t="shared" si="10"/>
        <v>6.9999999999999751</v>
      </c>
      <c r="V7" s="442">
        <f t="shared" si="7"/>
        <v>69.000000000000071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-98.260869565219309</v>
      </c>
      <c r="AF7" s="438">
        <f t="shared" si="9"/>
        <v>0.9508695652173903</v>
      </c>
      <c r="AG7" s="573"/>
    </row>
    <row r="8" spans="1:33">
      <c r="A8" s="606" t="s">
        <v>45</v>
      </c>
      <c r="B8" s="39" t="s">
        <v>2727</v>
      </c>
      <c r="C8" s="576"/>
      <c r="D8" s="576"/>
      <c r="E8" s="440"/>
      <c r="F8" s="42"/>
      <c r="G8" s="18"/>
      <c r="H8" s="443"/>
      <c r="I8" s="32">
        <v>15.333333333333334</v>
      </c>
      <c r="J8" s="43">
        <v>2000</v>
      </c>
      <c r="K8" s="18">
        <f t="shared" si="1"/>
        <v>130.43478260869566</v>
      </c>
      <c r="L8" s="32">
        <v>15.333333333333334</v>
      </c>
      <c r="M8" s="19">
        <f>AVERAGE(M5:M7)</f>
        <v>1908.3510574898344</v>
      </c>
      <c r="N8" s="18">
        <f t="shared" si="3"/>
        <v>124.4576776623805</v>
      </c>
      <c r="O8" s="20">
        <f t="shared" si="4"/>
        <v>0</v>
      </c>
      <c r="P8" s="21">
        <f t="shared" si="5"/>
        <v>-5.9771049463151513</v>
      </c>
      <c r="Q8" s="438">
        <f t="shared" si="6"/>
        <v>0.95417552874491718</v>
      </c>
      <c r="R8" s="573"/>
      <c r="S8" s="49"/>
      <c r="T8" s="49"/>
      <c r="U8" s="439"/>
      <c r="V8" s="442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-91.648942510165625</v>
      </c>
      <c r="AF8" s="438">
        <f t="shared" si="9"/>
        <v>0.95417552874491718</v>
      </c>
      <c r="AG8" s="573"/>
    </row>
    <row r="9" spans="1:33" ht="15.75" customHeight="1">
      <c r="A9" s="602" t="s">
        <v>2728</v>
      </c>
      <c r="B9" s="39" t="s">
        <v>79</v>
      </c>
      <c r="C9" s="598" t="s">
        <v>80</v>
      </c>
      <c r="D9" s="599"/>
      <c r="E9" s="39">
        <v>39.619999999999997</v>
      </c>
      <c r="F9" s="443">
        <v>5105</v>
      </c>
      <c r="G9" s="439">
        <f t="shared" ref="G9:G12" si="11">E9*F9</f>
        <v>202260.09999999998</v>
      </c>
      <c r="H9" s="48" t="s">
        <v>126</v>
      </c>
      <c r="I9" s="441">
        <v>19</v>
      </c>
      <c r="J9" s="43">
        <v>1500</v>
      </c>
      <c r="K9" s="18">
        <f t="shared" si="1"/>
        <v>78.94736842105263</v>
      </c>
      <c r="L9" s="441">
        <v>19</v>
      </c>
      <c r="M9" s="19">
        <f t="shared" ref="M9:M12" si="12">F9/V9*60</f>
        <v>1431.3084112149531</v>
      </c>
      <c r="N9" s="18">
        <f t="shared" si="3"/>
        <v>75.332021642892272</v>
      </c>
      <c r="O9" s="20">
        <f t="shared" si="4"/>
        <v>0</v>
      </c>
      <c r="P9" s="21">
        <f t="shared" si="5"/>
        <v>-3.6153467781603581</v>
      </c>
      <c r="Q9" s="438">
        <f t="shared" si="6"/>
        <v>0.95420560747663541</v>
      </c>
      <c r="R9" s="573">
        <f>Q13</f>
        <v>0.95646631383695935</v>
      </c>
      <c r="S9" s="49">
        <v>8.3333333333333329E-2</v>
      </c>
      <c r="T9" s="49">
        <v>0.23194444444444445</v>
      </c>
      <c r="U9" s="439"/>
      <c r="V9" s="442">
        <f t="shared" ref="V9:V12" si="13">(T9-S9)*24*60</f>
        <v>214.00000000000003</v>
      </c>
      <c r="W9" s="25">
        <f>T9</f>
        <v>0.23194444444444445</v>
      </c>
      <c r="X9" s="25">
        <f>S10</f>
        <v>0.25069444444444444</v>
      </c>
      <c r="Y9" s="25"/>
      <c r="Z9" s="25"/>
      <c r="AA9" s="575"/>
      <c r="AB9" s="575"/>
      <c r="AC9" s="50">
        <v>4</v>
      </c>
      <c r="AD9" s="27"/>
      <c r="AE9" s="20">
        <f t="shared" si="8"/>
        <v>-68.691588785046861</v>
      </c>
      <c r="AF9" s="438">
        <f t="shared" si="9"/>
        <v>0.95420560747663541</v>
      </c>
      <c r="AG9" s="573">
        <f>AF13</f>
        <v>0.95646631383695935</v>
      </c>
    </row>
    <row r="10" spans="1:33" ht="15.75" customHeight="1">
      <c r="A10" s="602" t="s">
        <v>2729</v>
      </c>
      <c r="B10" s="39" t="s">
        <v>79</v>
      </c>
      <c r="C10" s="598" t="s">
        <v>81</v>
      </c>
      <c r="D10" s="599"/>
      <c r="E10" s="39">
        <v>39.799999999999997</v>
      </c>
      <c r="F10" s="443">
        <v>3500</v>
      </c>
      <c r="G10" s="439">
        <f t="shared" si="11"/>
        <v>139300</v>
      </c>
      <c r="H10" s="48">
        <v>2</v>
      </c>
      <c r="I10" s="441">
        <v>17</v>
      </c>
      <c r="J10" s="43">
        <v>1500</v>
      </c>
      <c r="K10" s="18">
        <f t="shared" si="1"/>
        <v>88.235294117647058</v>
      </c>
      <c r="L10" s="441">
        <v>17</v>
      </c>
      <c r="M10" s="19">
        <f t="shared" si="12"/>
        <v>1438.3561643835619</v>
      </c>
      <c r="N10" s="18">
        <f t="shared" si="3"/>
        <v>84.60918614020953</v>
      </c>
      <c r="O10" s="20">
        <f t="shared" si="4"/>
        <v>0</v>
      </c>
      <c r="P10" s="21">
        <f t="shared" si="5"/>
        <v>-3.6261079774375276</v>
      </c>
      <c r="Q10" s="438">
        <f t="shared" si="6"/>
        <v>0.95890410958904138</v>
      </c>
      <c r="R10" s="573"/>
      <c r="S10" s="49">
        <v>0.25069444444444444</v>
      </c>
      <c r="T10" s="49">
        <v>0.3520833333333333</v>
      </c>
      <c r="U10" s="439">
        <f t="shared" ref="U10:U12" si="14">IF(S10=TIME(17,0,0),"",(S10-T9)*24*60)</f>
        <v>26.999999999999986</v>
      </c>
      <c r="V10" s="442">
        <f t="shared" si="13"/>
        <v>145.99999999999997</v>
      </c>
      <c r="W10" s="25"/>
      <c r="X10" s="25"/>
      <c r="Y10" s="25"/>
      <c r="Z10" s="25"/>
      <c r="AA10" s="575"/>
      <c r="AB10" s="575"/>
      <c r="AC10" s="50"/>
      <c r="AD10" s="27"/>
      <c r="AE10" s="20">
        <f t="shared" si="8"/>
        <v>-61.643835616438082</v>
      </c>
      <c r="AF10" s="438">
        <f t="shared" si="9"/>
        <v>0.95890410958904126</v>
      </c>
      <c r="AG10" s="573"/>
    </row>
    <row r="11" spans="1:33" ht="15.75" customHeight="1">
      <c r="A11" s="602" t="s">
        <v>2729</v>
      </c>
      <c r="B11" s="39" t="s">
        <v>79</v>
      </c>
      <c r="C11" s="598" t="s">
        <v>1953</v>
      </c>
      <c r="D11" s="599"/>
      <c r="E11" s="39">
        <v>39.46</v>
      </c>
      <c r="F11" s="443">
        <v>5187</v>
      </c>
      <c r="G11" s="439">
        <f t="shared" si="11"/>
        <v>204679.02000000002</v>
      </c>
      <c r="H11" s="48" t="s">
        <v>126</v>
      </c>
      <c r="I11" s="441">
        <v>16</v>
      </c>
      <c r="J11" s="43">
        <v>1500</v>
      </c>
      <c r="K11" s="18">
        <f t="shared" si="1"/>
        <v>93.75</v>
      </c>
      <c r="L11" s="441">
        <v>16</v>
      </c>
      <c r="M11" s="19">
        <f t="shared" si="12"/>
        <v>1434.1935483870966</v>
      </c>
      <c r="N11" s="18">
        <f t="shared" si="3"/>
        <v>89.637096774193537</v>
      </c>
      <c r="O11" s="20">
        <f t="shared" si="4"/>
        <v>0</v>
      </c>
      <c r="P11" s="21">
        <f t="shared" si="5"/>
        <v>-4.1129032258064626</v>
      </c>
      <c r="Q11" s="438">
        <f t="shared" si="6"/>
        <v>0.95612903225806445</v>
      </c>
      <c r="R11" s="573"/>
      <c r="S11" s="49">
        <v>0.35763888888888884</v>
      </c>
      <c r="T11" s="49">
        <v>0.5083333333333333</v>
      </c>
      <c r="U11" s="439">
        <f t="shared" si="14"/>
        <v>7.9999999999999716</v>
      </c>
      <c r="V11" s="442">
        <f t="shared" si="13"/>
        <v>217.00000000000003</v>
      </c>
      <c r="W11" s="25">
        <f>T11</f>
        <v>0.5083333333333333</v>
      </c>
      <c r="X11" s="25">
        <f>S12</f>
        <v>0.54861111111111105</v>
      </c>
      <c r="Y11" s="25"/>
      <c r="Z11" s="25"/>
      <c r="AA11" s="575"/>
      <c r="AB11" s="575"/>
      <c r="AC11" s="50"/>
      <c r="AD11" s="27"/>
      <c r="AE11" s="20">
        <f t="shared" si="8"/>
        <v>-65.806451612903402</v>
      </c>
      <c r="AF11" s="438">
        <f t="shared" si="9"/>
        <v>0.95612903225806445</v>
      </c>
      <c r="AG11" s="573"/>
    </row>
    <row r="12" spans="1:33" ht="15.75" customHeight="1">
      <c r="A12" s="602" t="s">
        <v>2730</v>
      </c>
      <c r="B12" s="39" t="s">
        <v>79</v>
      </c>
      <c r="C12" s="598" t="s">
        <v>81</v>
      </c>
      <c r="D12" s="599"/>
      <c r="E12" s="39">
        <v>39.799999999999997</v>
      </c>
      <c r="F12" s="443">
        <v>3970</v>
      </c>
      <c r="G12" s="439">
        <f t="shared" si="11"/>
        <v>158006</v>
      </c>
      <c r="H12" s="48" t="s">
        <v>126</v>
      </c>
      <c r="I12" s="441">
        <v>17</v>
      </c>
      <c r="J12" s="43">
        <v>1500</v>
      </c>
      <c r="K12" s="18">
        <f t="shared" si="1"/>
        <v>88.235294117647058</v>
      </c>
      <c r="L12" s="441">
        <v>17</v>
      </c>
      <c r="M12" s="19">
        <f t="shared" si="12"/>
        <v>1434.9397590361441</v>
      </c>
      <c r="N12" s="18">
        <f t="shared" si="3"/>
        <v>84.408221119773188</v>
      </c>
      <c r="O12" s="20">
        <f t="shared" si="4"/>
        <v>0</v>
      </c>
      <c r="P12" s="21">
        <f t="shared" si="5"/>
        <v>-3.82707299787387</v>
      </c>
      <c r="Q12" s="438">
        <f t="shared" si="6"/>
        <v>0.95662650602409616</v>
      </c>
      <c r="R12" s="573"/>
      <c r="S12" s="49">
        <v>0.54861111111111105</v>
      </c>
      <c r="T12" s="49">
        <v>0.66388888888888886</v>
      </c>
      <c r="U12" s="439">
        <f t="shared" si="14"/>
        <v>57.999999999999957</v>
      </c>
      <c r="V12" s="442">
        <f t="shared" si="13"/>
        <v>166.00000000000006</v>
      </c>
      <c r="W12" s="25"/>
      <c r="X12" s="25"/>
      <c r="Y12" s="25"/>
      <c r="Z12" s="25"/>
      <c r="AA12" s="568"/>
      <c r="AB12" s="569"/>
      <c r="AC12" s="50"/>
      <c r="AD12" s="27"/>
      <c r="AE12" s="20">
        <f t="shared" si="8"/>
        <v>-65.060240963855904</v>
      </c>
      <c r="AF12" s="438">
        <f t="shared" si="9"/>
        <v>0.95662650602409605</v>
      </c>
      <c r="AG12" s="573"/>
    </row>
    <row r="13" spans="1:33" ht="16.5" customHeight="1">
      <c r="A13" s="602" t="s">
        <v>2730</v>
      </c>
      <c r="B13" s="39" t="s">
        <v>2727</v>
      </c>
      <c r="C13" s="576"/>
      <c r="D13" s="576"/>
      <c r="E13" s="440"/>
      <c r="F13" s="43"/>
      <c r="G13" s="19"/>
      <c r="H13" s="443"/>
      <c r="I13" s="32">
        <v>17.25</v>
      </c>
      <c r="J13" s="43">
        <v>1500</v>
      </c>
      <c r="K13" s="18">
        <f t="shared" si="1"/>
        <v>86.956521739130437</v>
      </c>
      <c r="L13" s="32">
        <v>17.25</v>
      </c>
      <c r="M13" s="19">
        <f>AVERAGE(M9:M12)</f>
        <v>1434.6994707554391</v>
      </c>
      <c r="N13" s="18">
        <f t="shared" si="3"/>
        <v>83.170983811909508</v>
      </c>
      <c r="O13" s="20">
        <f t="shared" si="4"/>
        <v>0</v>
      </c>
      <c r="P13" s="21">
        <f t="shared" si="5"/>
        <v>-3.7855379272209291</v>
      </c>
      <c r="Q13" s="438">
        <f t="shared" si="6"/>
        <v>0.95646631383695935</v>
      </c>
      <c r="R13" s="573"/>
      <c r="S13" s="49"/>
      <c r="T13" s="49"/>
      <c r="U13" s="18"/>
      <c r="V13" s="442"/>
      <c r="W13" s="18"/>
      <c r="X13" s="18"/>
      <c r="Y13" s="33">
        <f>SUM(Y9:Y12)</f>
        <v>0</v>
      </c>
      <c r="Z13" s="33">
        <f>SUM(Z9:Z12)</f>
        <v>0</v>
      </c>
      <c r="AA13" s="572"/>
      <c r="AB13" s="572"/>
      <c r="AC13" s="33">
        <v>4</v>
      </c>
      <c r="AD13" s="33">
        <f>SUM(AD9:AD12)</f>
        <v>0</v>
      </c>
      <c r="AE13" s="20">
        <f t="shared" si="8"/>
        <v>-65.300529244560948</v>
      </c>
      <c r="AF13" s="438">
        <f t="shared" si="9"/>
        <v>0.95646631383695935</v>
      </c>
      <c r="AG13" s="573"/>
    </row>
    <row r="14" spans="1:33" ht="16.5" customHeight="1">
      <c r="A14" s="600" t="s">
        <v>2731</v>
      </c>
      <c r="B14" s="443" t="s">
        <v>82</v>
      </c>
      <c r="C14" s="594" t="s">
        <v>83</v>
      </c>
      <c r="D14" s="594"/>
      <c r="E14" s="39">
        <v>41</v>
      </c>
      <c r="F14" s="443">
        <v>1811</v>
      </c>
      <c r="G14" s="439">
        <f t="shared" ref="G14:G17" si="15">E14*F14</f>
        <v>74251</v>
      </c>
      <c r="H14" s="48" t="s">
        <v>126</v>
      </c>
      <c r="I14" s="441">
        <v>26</v>
      </c>
      <c r="J14" s="43">
        <v>1500</v>
      </c>
      <c r="K14" s="18">
        <f t="shared" si="1"/>
        <v>57.692307692307693</v>
      </c>
      <c r="L14" s="441">
        <v>26</v>
      </c>
      <c r="M14" s="19">
        <f t="shared" ref="M14:M17" si="16">F14/V14*60</f>
        <v>1429.7368421052629</v>
      </c>
      <c r="N14" s="18">
        <f t="shared" si="3"/>
        <v>54.989878542510112</v>
      </c>
      <c r="O14" s="20">
        <f t="shared" si="4"/>
        <v>0</v>
      </c>
      <c r="P14" s="21">
        <f t="shared" si="5"/>
        <v>-2.702429149797581</v>
      </c>
      <c r="Q14" s="438">
        <f t="shared" si="6"/>
        <v>0.95315789473684198</v>
      </c>
      <c r="R14" s="573">
        <f>Q18</f>
        <v>0.95859195783576601</v>
      </c>
      <c r="S14" s="49">
        <v>0.20833333333333334</v>
      </c>
      <c r="T14" s="49">
        <v>0.26111111111111113</v>
      </c>
      <c r="U14" s="439"/>
      <c r="V14" s="442">
        <f t="shared" ref="V14:V17" si="17">(T14-S14)*24*60</f>
        <v>76.000000000000014</v>
      </c>
      <c r="W14" s="30"/>
      <c r="X14" s="30"/>
      <c r="Y14" s="30"/>
      <c r="Z14" s="30"/>
      <c r="AA14" s="575"/>
      <c r="AB14" s="575"/>
      <c r="AC14" s="50">
        <v>4</v>
      </c>
      <c r="AD14" s="27"/>
      <c r="AE14" s="20">
        <f t="shared" si="8"/>
        <v>-70.263157894737105</v>
      </c>
      <c r="AF14" s="438">
        <f t="shared" si="9"/>
        <v>0.95315789473684198</v>
      </c>
      <c r="AG14" s="573">
        <f>AF18</f>
        <v>0.95859195783576601</v>
      </c>
    </row>
    <row r="15" spans="1:33" ht="16.5" customHeight="1">
      <c r="A15" s="601" t="s">
        <v>2731</v>
      </c>
      <c r="B15" s="443" t="s">
        <v>74</v>
      </c>
      <c r="C15" s="594" t="s">
        <v>85</v>
      </c>
      <c r="D15" s="594"/>
      <c r="E15" s="39">
        <v>53.68</v>
      </c>
      <c r="F15" s="443">
        <v>1149</v>
      </c>
      <c r="G15" s="439">
        <f t="shared" si="15"/>
        <v>61678.32</v>
      </c>
      <c r="H15" s="48" t="s">
        <v>126</v>
      </c>
      <c r="I15" s="441">
        <v>16</v>
      </c>
      <c r="J15" s="43">
        <v>1500</v>
      </c>
      <c r="K15" s="18">
        <f t="shared" si="1"/>
        <v>93.75</v>
      </c>
      <c r="L15" s="441">
        <v>16</v>
      </c>
      <c r="M15" s="19">
        <f t="shared" si="16"/>
        <v>1436.2500000000005</v>
      </c>
      <c r="N15" s="18">
        <f t="shared" si="3"/>
        <v>89.765625000000028</v>
      </c>
      <c r="O15" s="20">
        <f t="shared" si="4"/>
        <v>0</v>
      </c>
      <c r="P15" s="21">
        <f t="shared" si="5"/>
        <v>-3.9843749999999716</v>
      </c>
      <c r="Q15" s="438">
        <f t="shared" si="6"/>
        <v>0.95750000000000035</v>
      </c>
      <c r="R15" s="573"/>
      <c r="S15" s="49">
        <v>0.70833333333333337</v>
      </c>
      <c r="T15" s="49">
        <v>0.7416666666666667</v>
      </c>
      <c r="U15" s="439" t="str">
        <f t="shared" ref="U15:U17" si="18">IF(S15=TIME(17,0,0),"",(S15-T14)*24*60)</f>
        <v/>
      </c>
      <c r="V15" s="442">
        <f t="shared" si="17"/>
        <v>47.999999999999986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-63.749999999999545</v>
      </c>
      <c r="AF15" s="438">
        <f t="shared" si="9"/>
        <v>0.95750000000000035</v>
      </c>
      <c r="AG15" s="573"/>
    </row>
    <row r="16" spans="1:33" ht="16.5" customHeight="1">
      <c r="A16" s="601" t="s">
        <v>2731</v>
      </c>
      <c r="B16" s="443" t="s">
        <v>74</v>
      </c>
      <c r="C16" s="594" t="s">
        <v>78</v>
      </c>
      <c r="D16" s="594"/>
      <c r="E16" s="39">
        <v>52.86</v>
      </c>
      <c r="F16" s="443">
        <v>1631</v>
      </c>
      <c r="G16" s="439">
        <f t="shared" si="15"/>
        <v>86214.66</v>
      </c>
      <c r="H16" s="48" t="s">
        <v>126</v>
      </c>
      <c r="I16" s="441">
        <v>16</v>
      </c>
      <c r="J16" s="43">
        <v>2000</v>
      </c>
      <c r="K16" s="18">
        <f t="shared" si="1"/>
        <v>125</v>
      </c>
      <c r="L16" s="441">
        <v>16</v>
      </c>
      <c r="M16" s="19">
        <f t="shared" si="16"/>
        <v>1918.8235294117655</v>
      </c>
      <c r="N16" s="18">
        <f t="shared" si="3"/>
        <v>119.92647058823535</v>
      </c>
      <c r="O16" s="20">
        <f t="shared" si="4"/>
        <v>0</v>
      </c>
      <c r="P16" s="21">
        <f t="shared" si="5"/>
        <v>-5.0735294117646532</v>
      </c>
      <c r="Q16" s="438">
        <f t="shared" si="6"/>
        <v>0.95941176470588274</v>
      </c>
      <c r="R16" s="573"/>
      <c r="S16" s="49">
        <v>0.74583333333333335</v>
      </c>
      <c r="T16" s="49">
        <v>0.78125</v>
      </c>
      <c r="U16" s="439">
        <f t="shared" si="18"/>
        <v>5.9999999999999787</v>
      </c>
      <c r="V16" s="442">
        <f t="shared" si="17"/>
        <v>50.999999999999979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-81.176470588234451</v>
      </c>
      <c r="AF16" s="438">
        <f t="shared" si="9"/>
        <v>0.95941176470588274</v>
      </c>
      <c r="AG16" s="573"/>
    </row>
    <row r="17" spans="1:33" ht="16.5" customHeight="1">
      <c r="A17" s="601" t="s">
        <v>2732</v>
      </c>
      <c r="B17" s="443" t="s">
        <v>74</v>
      </c>
      <c r="C17" s="594" t="s">
        <v>75</v>
      </c>
      <c r="D17" s="594"/>
      <c r="E17" s="39">
        <v>50.67</v>
      </c>
      <c r="F17" s="443">
        <v>1444</v>
      </c>
      <c r="G17" s="439">
        <f t="shared" si="15"/>
        <v>73167.48</v>
      </c>
      <c r="H17" s="48" t="s">
        <v>126</v>
      </c>
      <c r="I17" s="441">
        <v>17</v>
      </c>
      <c r="J17" s="43">
        <v>2000</v>
      </c>
      <c r="K17" s="18">
        <f t="shared" si="1"/>
        <v>117.64705882352941</v>
      </c>
      <c r="L17" s="441">
        <v>17</v>
      </c>
      <c r="M17" s="19">
        <f t="shared" si="16"/>
        <v>1925.3333333333333</v>
      </c>
      <c r="N17" s="18">
        <f t="shared" si="3"/>
        <v>113.25490196078431</v>
      </c>
      <c r="O17" s="20">
        <f t="shared" si="4"/>
        <v>0</v>
      </c>
      <c r="P17" s="21">
        <f t="shared" si="5"/>
        <v>-4.3921568627450966</v>
      </c>
      <c r="Q17" s="438">
        <f t="shared" si="6"/>
        <v>0.96266666666666667</v>
      </c>
      <c r="R17" s="573"/>
      <c r="S17" s="49">
        <v>0.78680555555555554</v>
      </c>
      <c r="T17" s="49">
        <v>0.81805555555555554</v>
      </c>
      <c r="U17" s="439">
        <f t="shared" si="18"/>
        <v>7.9999999999999716</v>
      </c>
      <c r="V17" s="442">
        <f t="shared" si="17"/>
        <v>45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-74.666666666666742</v>
      </c>
      <c r="AF17" s="438">
        <f t="shared" si="9"/>
        <v>0.96266666666666667</v>
      </c>
      <c r="AG17" s="573"/>
    </row>
    <row r="18" spans="1:33" ht="16.5" customHeight="1">
      <c r="A18" s="601" t="s">
        <v>2732</v>
      </c>
      <c r="B18" s="39" t="s">
        <v>2733</v>
      </c>
      <c r="C18" s="576"/>
      <c r="D18" s="576"/>
      <c r="E18" s="440"/>
      <c r="F18" s="42"/>
      <c r="G18" s="18"/>
      <c r="H18" s="443"/>
      <c r="I18" s="32">
        <v>18.75</v>
      </c>
      <c r="J18" s="43">
        <v>1750</v>
      </c>
      <c r="K18" s="18">
        <f t="shared" si="1"/>
        <v>93.333333333333329</v>
      </c>
      <c r="L18" s="32">
        <v>18.75</v>
      </c>
      <c r="M18" s="19">
        <f>AVERAGE(M14:M17)</f>
        <v>1677.5359262125905</v>
      </c>
      <c r="N18" s="18">
        <f t="shared" si="3"/>
        <v>89.468582731338159</v>
      </c>
      <c r="O18" s="20">
        <f t="shared" si="4"/>
        <v>0</v>
      </c>
      <c r="P18" s="21">
        <f t="shared" si="5"/>
        <v>-3.8647506019951692</v>
      </c>
      <c r="Q18" s="438">
        <f t="shared" si="6"/>
        <v>0.95859195783576601</v>
      </c>
      <c r="R18" s="573"/>
      <c r="S18" s="49"/>
      <c r="T18" s="49"/>
      <c r="U18" s="439"/>
      <c r="V18" s="442"/>
      <c r="W18" s="18"/>
      <c r="X18" s="18"/>
      <c r="Y18" s="33">
        <f>SUM(Y14:Y17)</f>
        <v>0</v>
      </c>
      <c r="Z18" s="33">
        <f>SUM(Z14:Z17)</f>
        <v>0</v>
      </c>
      <c r="AA18" s="572"/>
      <c r="AB18" s="572"/>
      <c r="AC18" s="33">
        <v>4</v>
      </c>
      <c r="AD18" s="33">
        <f>SUM(AD14:AD17)</f>
        <v>0</v>
      </c>
      <c r="AE18" s="20">
        <f t="shared" si="8"/>
        <v>-72.464073787409461</v>
      </c>
      <c r="AF18" s="438">
        <f t="shared" si="9"/>
        <v>0.95859195783576601</v>
      </c>
      <c r="AG18" s="573"/>
    </row>
    <row r="19" spans="1:33" ht="15.75" customHeight="1">
      <c r="A19" s="596" t="s">
        <v>2734</v>
      </c>
      <c r="B19" s="39" t="s">
        <v>74</v>
      </c>
      <c r="C19" s="594" t="s">
        <v>84</v>
      </c>
      <c r="D19" s="594"/>
      <c r="E19" s="39">
        <v>54.09</v>
      </c>
      <c r="F19" s="443">
        <v>1713</v>
      </c>
      <c r="G19" s="439">
        <f t="shared" ref="G19:G25" si="19">E19*F19</f>
        <v>92656.170000000013</v>
      </c>
      <c r="H19" s="48" t="s">
        <v>126</v>
      </c>
      <c r="I19" s="441">
        <v>17</v>
      </c>
      <c r="J19" s="43">
        <v>1500</v>
      </c>
      <c r="K19" s="18">
        <f t="shared" si="1"/>
        <v>88.235294117647058</v>
      </c>
      <c r="L19" s="441">
        <v>17</v>
      </c>
      <c r="M19" s="19">
        <f t="shared" ref="M19:M25" si="20">F19/V19*60</f>
        <v>1447.6056338028163</v>
      </c>
      <c r="N19" s="18">
        <f t="shared" si="3"/>
        <v>85.153272576636255</v>
      </c>
      <c r="O19" s="20">
        <f t="shared" si="4"/>
        <v>0</v>
      </c>
      <c r="P19" s="21">
        <f t="shared" si="5"/>
        <v>-3.0820215410108034</v>
      </c>
      <c r="Q19" s="438">
        <f t="shared" si="6"/>
        <v>0.96507042253521091</v>
      </c>
      <c r="R19" s="573">
        <f>Q26</f>
        <v>0.95979334888892343</v>
      </c>
      <c r="S19" s="49">
        <v>0.20833333333333334</v>
      </c>
      <c r="T19" s="49">
        <v>0.25763888888888892</v>
      </c>
      <c r="U19" s="439"/>
      <c r="V19" s="442">
        <f t="shared" ref="V19:V25" si="21">(T19-S19)*24*60</f>
        <v>71.000000000000028</v>
      </c>
      <c r="W19" s="30"/>
      <c r="X19" s="30"/>
      <c r="Y19" s="30"/>
      <c r="Z19" s="30"/>
      <c r="AA19" s="575"/>
      <c r="AB19" s="575"/>
      <c r="AC19" s="50">
        <v>7</v>
      </c>
      <c r="AD19" s="27"/>
      <c r="AE19" s="20">
        <f t="shared" si="8"/>
        <v>-52.394366197183672</v>
      </c>
      <c r="AF19" s="438">
        <f t="shared" si="9"/>
        <v>0.96507042253521091</v>
      </c>
      <c r="AG19" s="573">
        <f>AF26</f>
        <v>0.95979334888892343</v>
      </c>
    </row>
    <row r="20" spans="1:33" ht="15.75" customHeight="1">
      <c r="A20" s="597" t="s">
        <v>2735</v>
      </c>
      <c r="B20" s="39" t="s">
        <v>74</v>
      </c>
      <c r="C20" s="594" t="s">
        <v>89</v>
      </c>
      <c r="D20" s="594"/>
      <c r="E20" s="39">
        <v>50.67</v>
      </c>
      <c r="F20" s="443">
        <v>2022</v>
      </c>
      <c r="G20" s="439">
        <f t="shared" si="19"/>
        <v>102454.74</v>
      </c>
      <c r="H20" s="48" t="s">
        <v>126</v>
      </c>
      <c r="I20" s="441">
        <v>17</v>
      </c>
      <c r="J20" s="43">
        <v>2000</v>
      </c>
      <c r="K20" s="18">
        <f t="shared" si="1"/>
        <v>117.64705882352941</v>
      </c>
      <c r="L20" s="441">
        <v>17</v>
      </c>
      <c r="M20" s="19">
        <f t="shared" si="20"/>
        <v>1925.7142857142853</v>
      </c>
      <c r="N20" s="18">
        <f t="shared" si="3"/>
        <v>113.27731092436973</v>
      </c>
      <c r="O20" s="20">
        <f t="shared" si="4"/>
        <v>0</v>
      </c>
      <c r="P20" s="21">
        <f t="shared" si="5"/>
        <v>-4.3697478991596768</v>
      </c>
      <c r="Q20" s="438">
        <f t="shared" si="6"/>
        <v>0.96285714285714274</v>
      </c>
      <c r="R20" s="573"/>
      <c r="S20" s="49">
        <v>0.26319444444444445</v>
      </c>
      <c r="T20" s="49">
        <v>0.30694444444444446</v>
      </c>
      <c r="U20" s="439">
        <f t="shared" ref="U20:U25" si="22">IF(S20=TIME(17,0,0),"",(S20-T19)*24*60)</f>
        <v>7.9999999999999716</v>
      </c>
      <c r="V20" s="442">
        <f t="shared" si="21"/>
        <v>63.000000000000014</v>
      </c>
      <c r="W20" s="25"/>
      <c r="X20" s="439"/>
      <c r="Y20" s="439"/>
      <c r="Z20" s="439"/>
      <c r="AA20" s="575"/>
      <c r="AB20" s="575"/>
      <c r="AC20" s="50"/>
      <c r="AD20" s="27"/>
      <c r="AE20" s="20">
        <f t="shared" si="8"/>
        <v>-74.285714285714675</v>
      </c>
      <c r="AF20" s="438">
        <f t="shared" si="9"/>
        <v>0.96285714285714263</v>
      </c>
      <c r="AG20" s="573"/>
    </row>
    <row r="21" spans="1:33" ht="15.75" customHeight="1">
      <c r="A21" s="597" t="s">
        <v>2735</v>
      </c>
      <c r="B21" s="39" t="s">
        <v>74</v>
      </c>
      <c r="C21" s="594" t="s">
        <v>90</v>
      </c>
      <c r="D21" s="594"/>
      <c r="E21" s="39">
        <v>57.73</v>
      </c>
      <c r="F21" s="443">
        <v>2249</v>
      </c>
      <c r="G21" s="439">
        <f t="shared" si="19"/>
        <v>129834.76999999999</v>
      </c>
      <c r="H21" s="48" t="s">
        <v>126</v>
      </c>
      <c r="I21" s="441">
        <v>14</v>
      </c>
      <c r="J21" s="43">
        <v>2000</v>
      </c>
      <c r="K21" s="18">
        <f t="shared" si="1"/>
        <v>142.85714285714286</v>
      </c>
      <c r="L21" s="441">
        <v>14</v>
      </c>
      <c r="M21" s="19">
        <f t="shared" si="20"/>
        <v>1927.714285714286</v>
      </c>
      <c r="N21" s="18">
        <f t="shared" si="3"/>
        <v>137.69387755102042</v>
      </c>
      <c r="O21" s="20">
        <f t="shared" si="4"/>
        <v>0</v>
      </c>
      <c r="P21" s="21">
        <f t="shared" si="5"/>
        <v>-5.1632653061224403</v>
      </c>
      <c r="Q21" s="438">
        <f t="shared" si="6"/>
        <v>0.96385714285714297</v>
      </c>
      <c r="R21" s="573"/>
      <c r="S21" s="49">
        <v>0.31111111111111112</v>
      </c>
      <c r="T21" s="49">
        <v>0.35972222222222222</v>
      </c>
      <c r="U21" s="439">
        <f t="shared" si="22"/>
        <v>5.9999999999999787</v>
      </c>
      <c r="V21" s="442">
        <f t="shared" si="21"/>
        <v>69.999999999999986</v>
      </c>
      <c r="W21" s="25"/>
      <c r="X21" s="439"/>
      <c r="Y21" s="439"/>
      <c r="Z21" s="439"/>
      <c r="AA21" s="575"/>
      <c r="AB21" s="575"/>
      <c r="AC21" s="50"/>
      <c r="AD21" s="27"/>
      <c r="AE21" s="20">
        <f t="shared" si="8"/>
        <v>-72.285714285713993</v>
      </c>
      <c r="AF21" s="438">
        <f t="shared" si="9"/>
        <v>0.96385714285714297</v>
      </c>
      <c r="AG21" s="573"/>
    </row>
    <row r="22" spans="1:33" ht="15.75" customHeight="1">
      <c r="A22" s="597" t="s">
        <v>2735</v>
      </c>
      <c r="B22" s="39" t="s">
        <v>74</v>
      </c>
      <c r="C22" s="594" t="s">
        <v>1232</v>
      </c>
      <c r="D22" s="594"/>
      <c r="E22" s="39">
        <v>53.27</v>
      </c>
      <c r="F22" s="443">
        <v>2043</v>
      </c>
      <c r="G22" s="439">
        <f t="shared" si="19"/>
        <v>108830.61</v>
      </c>
      <c r="H22" s="48" t="s">
        <v>126</v>
      </c>
      <c r="I22" s="441">
        <v>16</v>
      </c>
      <c r="J22" s="43">
        <v>2000</v>
      </c>
      <c r="K22" s="18">
        <f t="shared" si="1"/>
        <v>125</v>
      </c>
      <c r="L22" s="441">
        <v>16</v>
      </c>
      <c r="M22" s="19">
        <f t="shared" si="20"/>
        <v>1915.3124999999995</v>
      </c>
      <c r="N22" s="18">
        <f t="shared" si="3"/>
        <v>119.70703124999997</v>
      </c>
      <c r="O22" s="20">
        <f t="shared" si="4"/>
        <v>0</v>
      </c>
      <c r="P22" s="21">
        <f t="shared" si="5"/>
        <v>-5.2929687500000284</v>
      </c>
      <c r="Q22" s="438">
        <f t="shared" si="6"/>
        <v>0.95765624999999976</v>
      </c>
      <c r="R22" s="573"/>
      <c r="S22" s="49">
        <v>0.36458333333333331</v>
      </c>
      <c r="T22" s="49">
        <v>0.40902777777777777</v>
      </c>
      <c r="U22" s="439">
        <f t="shared" si="22"/>
        <v>6.9999999999999751</v>
      </c>
      <c r="V22" s="442">
        <f t="shared" si="21"/>
        <v>64.000000000000014</v>
      </c>
      <c r="W22" s="25"/>
      <c r="X22" s="439"/>
      <c r="Y22" s="439"/>
      <c r="Z22" s="439"/>
      <c r="AA22" s="575"/>
      <c r="AB22" s="575"/>
      <c r="AC22" s="50"/>
      <c r="AD22" s="27"/>
      <c r="AE22" s="20">
        <f t="shared" si="8"/>
        <v>-84.687500000000455</v>
      </c>
      <c r="AF22" s="438">
        <f t="shared" si="9"/>
        <v>0.95765624999999976</v>
      </c>
      <c r="AG22" s="573"/>
    </row>
    <row r="23" spans="1:33" ht="15.75" customHeight="1">
      <c r="A23" s="597" t="s">
        <v>2735</v>
      </c>
      <c r="B23" s="39" t="s">
        <v>74</v>
      </c>
      <c r="C23" s="594" t="s">
        <v>2623</v>
      </c>
      <c r="D23" s="594"/>
      <c r="E23" s="39">
        <v>37.03</v>
      </c>
      <c r="F23" s="443">
        <v>2275</v>
      </c>
      <c r="G23" s="439">
        <f t="shared" si="19"/>
        <v>84243.25</v>
      </c>
      <c r="H23" s="48" t="s">
        <v>126</v>
      </c>
      <c r="I23" s="441">
        <v>13</v>
      </c>
      <c r="J23" s="43">
        <v>1500</v>
      </c>
      <c r="K23" s="18">
        <f t="shared" si="1"/>
        <v>115.38461538461539</v>
      </c>
      <c r="L23" s="441">
        <v>13</v>
      </c>
      <c r="M23" s="19">
        <f t="shared" si="20"/>
        <v>1436.8421052631579</v>
      </c>
      <c r="N23" s="18">
        <f t="shared" si="3"/>
        <v>110.52631578947368</v>
      </c>
      <c r="O23" s="20">
        <f t="shared" si="4"/>
        <v>0</v>
      </c>
      <c r="P23" s="21">
        <f t="shared" si="5"/>
        <v>-4.8582995951417018</v>
      </c>
      <c r="Q23" s="438">
        <f t="shared" si="6"/>
        <v>0.95789473684210524</v>
      </c>
      <c r="R23" s="573"/>
      <c r="S23" s="49">
        <v>0.41388888888888886</v>
      </c>
      <c r="T23" s="49">
        <v>0.47986111111111107</v>
      </c>
      <c r="U23" s="439">
        <f t="shared" si="22"/>
        <v>6.9999999999999751</v>
      </c>
      <c r="V23" s="442">
        <f t="shared" si="21"/>
        <v>94.999999999999986</v>
      </c>
      <c r="W23" s="25"/>
      <c r="X23" s="25"/>
      <c r="Y23" s="439"/>
      <c r="Z23" s="439"/>
      <c r="AA23" s="575"/>
      <c r="AB23" s="575"/>
      <c r="AC23" s="50"/>
      <c r="AD23" s="27"/>
      <c r="AE23" s="20">
        <f t="shared" si="8"/>
        <v>-63.157894736842081</v>
      </c>
      <c r="AF23" s="438">
        <f t="shared" si="9"/>
        <v>0.95789473684210524</v>
      </c>
      <c r="AG23" s="573"/>
    </row>
    <row r="24" spans="1:33" ht="15.75" customHeight="1">
      <c r="A24" s="597" t="s">
        <v>2735</v>
      </c>
      <c r="B24" s="39" t="s">
        <v>74</v>
      </c>
      <c r="C24" s="594" t="s">
        <v>92</v>
      </c>
      <c r="D24" s="594"/>
      <c r="E24" s="39">
        <v>50.49</v>
      </c>
      <c r="F24" s="443">
        <v>1885</v>
      </c>
      <c r="G24" s="439">
        <f t="shared" si="19"/>
        <v>95173.650000000009</v>
      </c>
      <c r="H24" s="48" t="s">
        <v>126</v>
      </c>
      <c r="I24" s="441">
        <v>15</v>
      </c>
      <c r="J24" s="43">
        <v>2000</v>
      </c>
      <c r="K24" s="18">
        <f t="shared" si="1"/>
        <v>133.33333333333334</v>
      </c>
      <c r="L24" s="441">
        <v>15</v>
      </c>
      <c r="M24" s="19">
        <f t="shared" si="20"/>
        <v>1916.9491525423743</v>
      </c>
      <c r="N24" s="18">
        <f t="shared" si="3"/>
        <v>127.79661016949163</v>
      </c>
      <c r="O24" s="20">
        <f t="shared" si="4"/>
        <v>0</v>
      </c>
      <c r="P24" s="21">
        <f t="shared" si="5"/>
        <v>-5.5367231638417138</v>
      </c>
      <c r="Q24" s="438">
        <f t="shared" si="6"/>
        <v>0.95847457627118715</v>
      </c>
      <c r="R24" s="573"/>
      <c r="S24" s="49">
        <v>0.70833333333333337</v>
      </c>
      <c r="T24" s="49">
        <v>0.74930555555555556</v>
      </c>
      <c r="U24" s="439" t="str">
        <f t="shared" si="22"/>
        <v/>
      </c>
      <c r="V24" s="442">
        <f t="shared" si="21"/>
        <v>58.99999999999995</v>
      </c>
      <c r="W24" s="25"/>
      <c r="X24" s="30"/>
      <c r="Y24" s="30"/>
      <c r="Z24" s="30"/>
      <c r="AA24" s="575"/>
      <c r="AB24" s="575"/>
      <c r="AC24" s="50"/>
      <c r="AD24" s="27"/>
      <c r="AE24" s="20">
        <f t="shared" si="8"/>
        <v>-83.05084745762565</v>
      </c>
      <c r="AF24" s="438">
        <f t="shared" si="9"/>
        <v>0.95847457627118715</v>
      </c>
      <c r="AG24" s="573"/>
    </row>
    <row r="25" spans="1:33" ht="15.75" customHeight="1">
      <c r="A25" s="597" t="s">
        <v>2735</v>
      </c>
      <c r="B25" s="39" t="s">
        <v>74</v>
      </c>
      <c r="C25" s="630" t="s">
        <v>2524</v>
      </c>
      <c r="D25" s="631"/>
      <c r="E25" s="39">
        <v>56.43</v>
      </c>
      <c r="F25" s="443">
        <v>4164</v>
      </c>
      <c r="G25" s="439">
        <f t="shared" si="19"/>
        <v>234974.52</v>
      </c>
      <c r="H25" s="48" t="s">
        <v>126</v>
      </c>
      <c r="I25" s="441">
        <v>13</v>
      </c>
      <c r="J25" s="43">
        <v>2000</v>
      </c>
      <c r="K25" s="18">
        <f t="shared" si="1"/>
        <v>153.84615384615384</v>
      </c>
      <c r="L25" s="441">
        <v>13</v>
      </c>
      <c r="M25" s="19">
        <f t="shared" si="20"/>
        <v>1907.175572519084</v>
      </c>
      <c r="N25" s="18">
        <f t="shared" si="3"/>
        <v>146.70581327069877</v>
      </c>
      <c r="O25" s="20">
        <f t="shared" si="4"/>
        <v>0</v>
      </c>
      <c r="P25" s="21">
        <f t="shared" si="5"/>
        <v>-7.1403405754550704</v>
      </c>
      <c r="Q25" s="438">
        <f t="shared" si="6"/>
        <v>0.95358778625954199</v>
      </c>
      <c r="R25" s="573"/>
      <c r="S25" s="49">
        <v>0.75277777777777777</v>
      </c>
      <c r="T25" s="49">
        <v>0.84375</v>
      </c>
      <c r="U25" s="439">
        <f t="shared" si="22"/>
        <v>4.9999999999999822</v>
      </c>
      <c r="V25" s="442">
        <f t="shared" si="21"/>
        <v>131</v>
      </c>
      <c r="W25" s="25"/>
      <c r="X25" s="30"/>
      <c r="Y25" s="31"/>
      <c r="Z25" s="31"/>
      <c r="AA25" s="568"/>
      <c r="AB25" s="569"/>
      <c r="AC25" s="50"/>
      <c r="AD25" s="27"/>
      <c r="AE25" s="20">
        <f t="shared" si="8"/>
        <v>-92.824427480916029</v>
      </c>
      <c r="AF25" s="438">
        <f t="shared" si="9"/>
        <v>0.95358778625954199</v>
      </c>
      <c r="AG25" s="573"/>
    </row>
    <row r="26" spans="1:33" ht="15.75" customHeight="1">
      <c r="A26" s="597" t="s">
        <v>2735</v>
      </c>
      <c r="B26" s="39" t="s">
        <v>2733</v>
      </c>
      <c r="C26" s="576"/>
      <c r="D26" s="576"/>
      <c r="E26" s="440"/>
      <c r="F26" s="443"/>
      <c r="G26" s="439"/>
      <c r="H26" s="443"/>
      <c r="I26" s="32">
        <v>15</v>
      </c>
      <c r="J26" s="43">
        <v>1857.1428571428571</v>
      </c>
      <c r="K26" s="18">
        <f t="shared" si="1"/>
        <v>123.80952380952381</v>
      </c>
      <c r="L26" s="32">
        <v>15</v>
      </c>
      <c r="M26" s="19">
        <f>AVERAGE(M19:M25)</f>
        <v>1782.4733622222864</v>
      </c>
      <c r="N26" s="18">
        <f t="shared" si="3"/>
        <v>118.83155748148576</v>
      </c>
      <c r="O26" s="20">
        <f t="shared" si="4"/>
        <v>0</v>
      </c>
      <c r="P26" s="21">
        <f t="shared" si="5"/>
        <v>-4.9779663280380504</v>
      </c>
      <c r="Q26" s="438">
        <f t="shared" si="6"/>
        <v>0.95979334888892343</v>
      </c>
      <c r="R26" s="573"/>
      <c r="S26" s="49"/>
      <c r="T26" s="49"/>
      <c r="U26" s="18"/>
      <c r="V26" s="442"/>
      <c r="W26" s="18"/>
      <c r="X26" s="18"/>
      <c r="Y26" s="33">
        <f>SUM(Y19:Y25)</f>
        <v>0</v>
      </c>
      <c r="Z26" s="33">
        <f>SUM(Z19:Z25)</f>
        <v>0</v>
      </c>
      <c r="AA26" s="572"/>
      <c r="AB26" s="572"/>
      <c r="AC26" s="33">
        <v>7</v>
      </c>
      <c r="AD26" s="33">
        <f>SUM(AD19:AD25)</f>
        <v>0</v>
      </c>
      <c r="AE26" s="20">
        <f t="shared" si="8"/>
        <v>-74.669494920570742</v>
      </c>
      <c r="AF26" s="438">
        <f t="shared" si="9"/>
        <v>0.95979334888892343</v>
      </c>
      <c r="AG26" s="573"/>
    </row>
    <row r="27" spans="1:33" ht="15.75" customHeight="1">
      <c r="A27" s="595" t="s">
        <v>2736</v>
      </c>
      <c r="B27" s="39" t="s">
        <v>94</v>
      </c>
      <c r="C27" s="594" t="s">
        <v>95</v>
      </c>
      <c r="D27" s="594"/>
      <c r="E27" s="39">
        <v>31.29</v>
      </c>
      <c r="F27" s="443">
        <v>6000</v>
      </c>
      <c r="G27" s="439">
        <f t="shared" ref="G27:G32" si="23">E27*F27</f>
        <v>187740</v>
      </c>
      <c r="H27" s="48">
        <v>2</v>
      </c>
      <c r="I27" s="441">
        <v>18</v>
      </c>
      <c r="J27" s="43">
        <v>2400</v>
      </c>
      <c r="K27" s="18">
        <f t="shared" si="1"/>
        <v>133.33333333333334</v>
      </c>
      <c r="L27" s="441">
        <v>18</v>
      </c>
      <c r="M27" s="19">
        <f t="shared" ref="M27:M32" si="24">F27/V27*60</f>
        <v>2292.993630573249</v>
      </c>
      <c r="N27" s="18">
        <f t="shared" si="3"/>
        <v>127.38853503184717</v>
      </c>
      <c r="O27" s="20">
        <f t="shared" si="4"/>
        <v>0</v>
      </c>
      <c r="P27" s="21">
        <f t="shared" si="5"/>
        <v>-5.9447983014861734</v>
      </c>
      <c r="Q27" s="438">
        <f t="shared" si="6"/>
        <v>0.95541401273885374</v>
      </c>
      <c r="R27" s="573">
        <f>Q33</f>
        <v>0.95677924876264286</v>
      </c>
      <c r="S27" s="49">
        <v>8.3333333333333329E-2</v>
      </c>
      <c r="T27" s="49">
        <v>0.19236111111111109</v>
      </c>
      <c r="U27" s="439"/>
      <c r="V27" s="442">
        <f t="shared" ref="V27:V32" si="25">(T27-S27)*24*60</f>
        <v>156.99999999999997</v>
      </c>
      <c r="W27" s="25">
        <f>T27</f>
        <v>0.19236111111111109</v>
      </c>
      <c r="X27" s="25">
        <f>S28</f>
        <v>0.21041666666666664</v>
      </c>
      <c r="Y27" s="25"/>
      <c r="Z27" s="25"/>
      <c r="AA27" s="575"/>
      <c r="AB27" s="575"/>
      <c r="AC27" s="50">
        <v>6</v>
      </c>
      <c r="AD27" s="27"/>
      <c r="AE27" s="20">
        <f t="shared" si="8"/>
        <v>-107.00636942675101</v>
      </c>
      <c r="AF27" s="438">
        <f t="shared" si="9"/>
        <v>0.95541401273885374</v>
      </c>
      <c r="AG27" s="573">
        <f>AF33</f>
        <v>0.95677924876264309</v>
      </c>
    </row>
    <row r="28" spans="1:33" ht="15.75" customHeight="1">
      <c r="A28" s="595" t="s">
        <v>2736</v>
      </c>
      <c r="B28" s="39" t="s">
        <v>94</v>
      </c>
      <c r="C28" s="594" t="s">
        <v>97</v>
      </c>
      <c r="D28" s="594"/>
      <c r="E28" s="39">
        <v>26.37</v>
      </c>
      <c r="F28" s="443">
        <v>7009</v>
      </c>
      <c r="G28" s="439">
        <f t="shared" si="23"/>
        <v>184827.33000000002</v>
      </c>
      <c r="H28" s="48" t="s">
        <v>126</v>
      </c>
      <c r="I28" s="441">
        <v>18</v>
      </c>
      <c r="J28" s="43">
        <v>2400</v>
      </c>
      <c r="K28" s="18">
        <f t="shared" si="1"/>
        <v>133.33333333333334</v>
      </c>
      <c r="L28" s="441">
        <v>18</v>
      </c>
      <c r="M28" s="19">
        <f t="shared" si="24"/>
        <v>2285.5434782608691</v>
      </c>
      <c r="N28" s="18">
        <f t="shared" si="3"/>
        <v>126.97463768115939</v>
      </c>
      <c r="O28" s="20">
        <f t="shared" si="4"/>
        <v>0</v>
      </c>
      <c r="P28" s="21">
        <f t="shared" si="5"/>
        <v>-6.3586956521739495</v>
      </c>
      <c r="Q28" s="438">
        <f t="shared" si="6"/>
        <v>0.95230978260869537</v>
      </c>
      <c r="R28" s="573"/>
      <c r="S28" s="49">
        <v>0.21041666666666664</v>
      </c>
      <c r="T28" s="49">
        <v>0.33819444444444446</v>
      </c>
      <c r="U28" s="439">
        <f t="shared" ref="U28:U32" si="26">(S28-T27)*24*60</f>
        <v>25.999999999999986</v>
      </c>
      <c r="V28" s="442">
        <f t="shared" si="25"/>
        <v>184.00000000000006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-114.45652173913095</v>
      </c>
      <c r="AF28" s="438">
        <f t="shared" si="9"/>
        <v>0.95230978260869548</v>
      </c>
      <c r="AG28" s="573"/>
    </row>
    <row r="29" spans="1:33" ht="15.75" customHeight="1">
      <c r="A29" s="595" t="s">
        <v>2736</v>
      </c>
      <c r="B29" s="39" t="s">
        <v>94</v>
      </c>
      <c r="C29" s="594" t="s">
        <v>529</v>
      </c>
      <c r="D29" s="594"/>
      <c r="E29" s="39">
        <v>26.18</v>
      </c>
      <c r="F29" s="443">
        <v>4600</v>
      </c>
      <c r="G29" s="439">
        <f t="shared" si="23"/>
        <v>120428</v>
      </c>
      <c r="H29" s="48">
        <v>2</v>
      </c>
      <c r="I29" s="441">
        <v>18</v>
      </c>
      <c r="J29" s="43">
        <v>2400</v>
      </c>
      <c r="K29" s="18">
        <f t="shared" si="1"/>
        <v>133.33333333333334</v>
      </c>
      <c r="L29" s="441">
        <v>18</v>
      </c>
      <c r="M29" s="19">
        <f t="shared" si="24"/>
        <v>2300.0000000000005</v>
      </c>
      <c r="N29" s="18">
        <f t="shared" si="3"/>
        <v>127.7777777777778</v>
      </c>
      <c r="O29" s="20">
        <f t="shared" si="4"/>
        <v>0</v>
      </c>
      <c r="P29" s="21">
        <f t="shared" si="5"/>
        <v>-5.5555555555555429</v>
      </c>
      <c r="Q29" s="438">
        <f t="shared" si="6"/>
        <v>0.95833333333333348</v>
      </c>
      <c r="R29" s="573"/>
      <c r="S29" s="49">
        <v>0.34166666666666667</v>
      </c>
      <c r="T29" s="49">
        <v>0.42499999999999999</v>
      </c>
      <c r="U29" s="439">
        <f t="shared" si="26"/>
        <v>4.9999999999999822</v>
      </c>
      <c r="V29" s="442">
        <f t="shared" si="25"/>
        <v>119.99999999999997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-99.999999999999545</v>
      </c>
      <c r="AF29" s="438">
        <f t="shared" si="9"/>
        <v>0.95833333333333348</v>
      </c>
      <c r="AG29" s="573"/>
    </row>
    <row r="30" spans="1:33" ht="15.75" customHeight="1">
      <c r="A30" s="595" t="s">
        <v>2736</v>
      </c>
      <c r="B30" s="39" t="s">
        <v>94</v>
      </c>
      <c r="C30" s="594" t="s">
        <v>98</v>
      </c>
      <c r="D30" s="594"/>
      <c r="E30" s="39">
        <v>25.99</v>
      </c>
      <c r="F30" s="443">
        <v>4417</v>
      </c>
      <c r="G30" s="439">
        <f t="shared" si="23"/>
        <v>114797.82999999999</v>
      </c>
      <c r="H30" s="48" t="s">
        <v>126</v>
      </c>
      <c r="I30" s="441">
        <v>14</v>
      </c>
      <c r="J30" s="43">
        <v>2400</v>
      </c>
      <c r="K30" s="18">
        <f t="shared" si="1"/>
        <v>171.42857142857142</v>
      </c>
      <c r="L30" s="441">
        <v>14</v>
      </c>
      <c r="M30" s="19">
        <f t="shared" si="24"/>
        <v>2304.521739130435</v>
      </c>
      <c r="N30" s="18">
        <f t="shared" si="3"/>
        <v>164.60869565217394</v>
      </c>
      <c r="O30" s="20">
        <f t="shared" si="4"/>
        <v>0</v>
      </c>
      <c r="P30" s="21">
        <f t="shared" si="5"/>
        <v>-6.8198757763974811</v>
      </c>
      <c r="Q30" s="438">
        <f t="shared" si="6"/>
        <v>0.96021739130434802</v>
      </c>
      <c r="R30" s="573"/>
      <c r="S30" s="49">
        <v>0.42916666666666664</v>
      </c>
      <c r="T30" s="49">
        <v>0.50902777777777775</v>
      </c>
      <c r="U30" s="439">
        <f t="shared" si="26"/>
        <v>5.9999999999999787</v>
      </c>
      <c r="V30" s="442">
        <f t="shared" si="25"/>
        <v>114.99999999999999</v>
      </c>
      <c r="W30" s="25">
        <f>T30</f>
        <v>0.50902777777777775</v>
      </c>
      <c r="X30" s="25">
        <f>S31</f>
        <v>0.54861111111111105</v>
      </c>
      <c r="Y30" s="25"/>
      <c r="Z30" s="25"/>
      <c r="AA30" s="575"/>
      <c r="AB30" s="575"/>
      <c r="AC30" s="50"/>
      <c r="AD30" s="27"/>
      <c r="AE30" s="20">
        <f t="shared" si="8"/>
        <v>-95.47826086956502</v>
      </c>
      <c r="AF30" s="438">
        <f t="shared" si="9"/>
        <v>0.96021739130434791</v>
      </c>
      <c r="AG30" s="573"/>
    </row>
    <row r="31" spans="1:33" ht="15.75" customHeight="1">
      <c r="A31" s="595" t="s">
        <v>2736</v>
      </c>
      <c r="B31" s="39" t="s">
        <v>94</v>
      </c>
      <c r="C31" s="594" t="s">
        <v>95</v>
      </c>
      <c r="D31" s="594"/>
      <c r="E31" s="39">
        <v>31.29</v>
      </c>
      <c r="F31" s="443">
        <v>3988</v>
      </c>
      <c r="G31" s="439">
        <f t="shared" si="23"/>
        <v>124784.51999999999</v>
      </c>
      <c r="H31" s="48" t="s">
        <v>126</v>
      </c>
      <c r="I31" s="441">
        <v>18</v>
      </c>
      <c r="J31" s="43">
        <v>2400</v>
      </c>
      <c r="K31" s="18">
        <f t="shared" si="1"/>
        <v>133.33333333333334</v>
      </c>
      <c r="L31" s="441">
        <v>18</v>
      </c>
      <c r="M31" s="19">
        <f t="shared" si="24"/>
        <v>2300.7692307692323</v>
      </c>
      <c r="N31" s="18">
        <f t="shared" si="3"/>
        <v>127.8205128205129</v>
      </c>
      <c r="O31" s="20">
        <f t="shared" si="4"/>
        <v>0</v>
      </c>
      <c r="P31" s="21">
        <f t="shared" si="5"/>
        <v>-5.5128205128204399</v>
      </c>
      <c r="Q31" s="438">
        <f t="shared" si="6"/>
        <v>0.95865384615384674</v>
      </c>
      <c r="R31" s="573"/>
      <c r="S31" s="49">
        <v>0.54861111111111105</v>
      </c>
      <c r="T31" s="49">
        <v>0.62083333333333324</v>
      </c>
      <c r="U31" s="439">
        <f t="shared" si="26"/>
        <v>56.999999999999957</v>
      </c>
      <c r="V31" s="442">
        <f t="shared" si="25"/>
        <v>103.99999999999994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-99.230769230767692</v>
      </c>
      <c r="AF31" s="438">
        <f t="shared" si="9"/>
        <v>0.95865384615384674</v>
      </c>
      <c r="AG31" s="573"/>
    </row>
    <row r="32" spans="1:33" ht="15.75" customHeight="1">
      <c r="A32" s="595" t="s">
        <v>2736</v>
      </c>
      <c r="B32" s="39" t="s">
        <v>94</v>
      </c>
      <c r="C32" s="594" t="s">
        <v>529</v>
      </c>
      <c r="D32" s="594"/>
      <c r="E32" s="39">
        <v>26.18</v>
      </c>
      <c r="F32" s="443">
        <v>3326</v>
      </c>
      <c r="G32" s="439">
        <f t="shared" si="23"/>
        <v>87074.68</v>
      </c>
      <c r="H32" s="48" t="s">
        <v>126</v>
      </c>
      <c r="I32" s="441">
        <v>18</v>
      </c>
      <c r="J32" s="43">
        <v>2400</v>
      </c>
      <c r="K32" s="18">
        <f t="shared" si="1"/>
        <v>133.33333333333334</v>
      </c>
      <c r="L32" s="441">
        <v>18</v>
      </c>
      <c r="M32" s="19">
        <f t="shared" si="24"/>
        <v>2293.7931034482754</v>
      </c>
      <c r="N32" s="18">
        <f t="shared" si="3"/>
        <v>127.43295019157085</v>
      </c>
      <c r="O32" s="20">
        <f t="shared" si="4"/>
        <v>0</v>
      </c>
      <c r="P32" s="21">
        <f t="shared" si="5"/>
        <v>-5.9003831417624895</v>
      </c>
      <c r="Q32" s="438">
        <f t="shared" si="6"/>
        <v>0.95574712643678128</v>
      </c>
      <c r="R32" s="573"/>
      <c r="S32" s="49">
        <v>0.62499999999999989</v>
      </c>
      <c r="T32" s="49">
        <v>0.68541666666666656</v>
      </c>
      <c r="U32" s="439">
        <f t="shared" si="26"/>
        <v>5.9999999999999787</v>
      </c>
      <c r="V32" s="442">
        <f t="shared" si="25"/>
        <v>87.000000000000014</v>
      </c>
      <c r="W32" s="25"/>
      <c r="X32" s="25"/>
      <c r="Y32" s="25"/>
      <c r="Z32" s="25"/>
      <c r="AA32" s="575"/>
      <c r="AB32" s="575"/>
      <c r="AC32" s="50"/>
      <c r="AD32" s="27"/>
      <c r="AE32" s="20">
        <f t="shared" si="8"/>
        <v>-106.20689655172464</v>
      </c>
      <c r="AF32" s="438">
        <f t="shared" si="9"/>
        <v>0.95574712643678139</v>
      </c>
      <c r="AG32" s="573"/>
    </row>
    <row r="33" spans="1:33" ht="15.75" customHeight="1">
      <c r="A33" s="595" t="s">
        <v>2736</v>
      </c>
      <c r="B33" s="39" t="s">
        <v>2733</v>
      </c>
      <c r="C33" s="576"/>
      <c r="D33" s="576"/>
      <c r="E33" s="440"/>
      <c r="F33" s="443"/>
      <c r="G33" s="439"/>
      <c r="H33" s="443"/>
      <c r="I33" s="32">
        <v>17.333333333333332</v>
      </c>
      <c r="J33" s="43">
        <v>2400</v>
      </c>
      <c r="K33" s="18">
        <f t="shared" si="1"/>
        <v>138.46153846153848</v>
      </c>
      <c r="L33" s="32">
        <v>17.333333333333332</v>
      </c>
      <c r="M33" s="19">
        <f>AVERAGE(M27:M32)</f>
        <v>2296.2701970303433</v>
      </c>
      <c r="N33" s="18">
        <f t="shared" si="3"/>
        <v>132.47712675175057</v>
      </c>
      <c r="O33" s="20">
        <f t="shared" si="4"/>
        <v>0</v>
      </c>
      <c r="P33" s="21">
        <f t="shared" si="5"/>
        <v>-5.9844117097879064</v>
      </c>
      <c r="Q33" s="438">
        <f t="shared" si="6"/>
        <v>0.95677924876264286</v>
      </c>
      <c r="R33" s="573"/>
      <c r="S33" s="49"/>
      <c r="T33" s="49"/>
      <c r="U33" s="439"/>
      <c r="V33" s="442"/>
      <c r="W33" s="439"/>
      <c r="X33" s="439"/>
      <c r="Y33" s="33">
        <f>SUM(Y27:Y32)</f>
        <v>0</v>
      </c>
      <c r="Z33" s="33">
        <f>SUM(Z27:Z32)</f>
        <v>0</v>
      </c>
      <c r="AA33" s="572"/>
      <c r="AB33" s="572"/>
      <c r="AC33" s="33">
        <v>6</v>
      </c>
      <c r="AD33" s="33">
        <f>SUM(AD27:AD32)</f>
        <v>0</v>
      </c>
      <c r="AE33" s="20">
        <f t="shared" si="8"/>
        <v>-103.7298029696567</v>
      </c>
      <c r="AF33" s="438">
        <f t="shared" si="9"/>
        <v>0.95677924876264309</v>
      </c>
      <c r="AG33" s="573"/>
    </row>
    <row r="34" spans="1:33" ht="15.75" customHeight="1">
      <c r="A34" s="592" t="s">
        <v>2737</v>
      </c>
      <c r="B34" s="39" t="s">
        <v>94</v>
      </c>
      <c r="C34" s="574" t="s">
        <v>530</v>
      </c>
      <c r="D34" s="574"/>
      <c r="E34" s="39">
        <v>26.18</v>
      </c>
      <c r="F34" s="443">
        <v>3900</v>
      </c>
      <c r="G34" s="439">
        <f t="shared" ref="G34:G41" si="27">E34*F34</f>
        <v>102102</v>
      </c>
      <c r="H34" s="48">
        <v>2</v>
      </c>
      <c r="I34" s="441">
        <v>20</v>
      </c>
      <c r="J34" s="43">
        <v>2400</v>
      </c>
      <c r="K34" s="18">
        <f t="shared" si="1"/>
        <v>120</v>
      </c>
      <c r="L34" s="441">
        <v>20</v>
      </c>
      <c r="M34" s="19">
        <f t="shared" ref="M34:M41" si="28">F34/V34*60</f>
        <v>2294.117647058823</v>
      </c>
      <c r="N34" s="18">
        <f t="shared" si="3"/>
        <v>114.70588235294115</v>
      </c>
      <c r="O34" s="20">
        <f t="shared" si="4"/>
        <v>0</v>
      </c>
      <c r="P34" s="21">
        <f t="shared" si="5"/>
        <v>-5.2941176470588545</v>
      </c>
      <c r="Q34" s="438">
        <f t="shared" si="6"/>
        <v>0.95588235294117618</v>
      </c>
      <c r="R34" s="573">
        <f>Q42</f>
        <v>0.95668498963207649</v>
      </c>
      <c r="S34" s="49">
        <v>8.3333333333333329E-2</v>
      </c>
      <c r="T34" s="49">
        <v>0.15416666666666667</v>
      </c>
      <c r="U34" s="439"/>
      <c r="V34" s="442">
        <f t="shared" ref="V34:V41" si="29">(T34-S34)*24*60</f>
        <v>102.00000000000001</v>
      </c>
      <c r="W34" s="30">
        <f>T34</f>
        <v>0.15416666666666667</v>
      </c>
      <c r="X34" s="30">
        <f>S35</f>
        <v>0.17569444444444446</v>
      </c>
      <c r="Y34" s="30"/>
      <c r="Z34" s="30"/>
      <c r="AA34" s="575"/>
      <c r="AB34" s="575"/>
      <c r="AC34" s="50">
        <v>8</v>
      </c>
      <c r="AD34" s="27"/>
      <c r="AE34" s="20">
        <f t="shared" si="8"/>
        <v>-105.88235294117703</v>
      </c>
      <c r="AF34" s="438">
        <f t="shared" si="9"/>
        <v>0.95588235294117618</v>
      </c>
      <c r="AG34" s="573">
        <f>AF42</f>
        <v>0.95668498963207638</v>
      </c>
    </row>
    <row r="35" spans="1:33" ht="15.75" customHeight="1">
      <c r="A35" s="592" t="s">
        <v>2737</v>
      </c>
      <c r="B35" s="39" t="s">
        <v>94</v>
      </c>
      <c r="C35" s="574" t="s">
        <v>100</v>
      </c>
      <c r="D35" s="574"/>
      <c r="E35" s="39">
        <v>24.43</v>
      </c>
      <c r="F35" s="443">
        <v>4000</v>
      </c>
      <c r="G35" s="439">
        <f t="shared" si="27"/>
        <v>97720</v>
      </c>
      <c r="H35" s="48">
        <v>2</v>
      </c>
      <c r="I35" s="441">
        <v>14</v>
      </c>
      <c r="J35" s="43">
        <v>2400</v>
      </c>
      <c r="K35" s="18">
        <f t="shared" si="1"/>
        <v>171.42857142857142</v>
      </c>
      <c r="L35" s="441">
        <v>14</v>
      </c>
      <c r="M35" s="19">
        <f t="shared" si="28"/>
        <v>2285.7142857142862</v>
      </c>
      <c r="N35" s="18">
        <f t="shared" si="3"/>
        <v>163.265306122449</v>
      </c>
      <c r="O35" s="20">
        <f t="shared" si="4"/>
        <v>0</v>
      </c>
      <c r="P35" s="21">
        <f t="shared" si="5"/>
        <v>-8.1632653061224119</v>
      </c>
      <c r="Q35" s="438">
        <f t="shared" si="6"/>
        <v>0.95238095238095255</v>
      </c>
      <c r="R35" s="573"/>
      <c r="S35" s="49">
        <v>0.17569444444444446</v>
      </c>
      <c r="T35" s="49">
        <v>0.24861111111111112</v>
      </c>
      <c r="U35" s="439">
        <f t="shared" ref="U35:U41" si="30">(S35-T34)*24*60</f>
        <v>31.000000000000011</v>
      </c>
      <c r="V35" s="442">
        <f t="shared" si="29"/>
        <v>104.99999999999999</v>
      </c>
      <c r="W35" s="439"/>
      <c r="X35" s="439"/>
      <c r="Y35" s="439"/>
      <c r="Z35" s="439"/>
      <c r="AA35" s="575"/>
      <c r="AB35" s="575"/>
      <c r="AC35" s="50"/>
      <c r="AD35" s="27"/>
      <c r="AE35" s="20">
        <f t="shared" si="8"/>
        <v>-114.28571428571377</v>
      </c>
      <c r="AF35" s="438">
        <f t="shared" si="9"/>
        <v>0.95238095238095255</v>
      </c>
      <c r="AG35" s="573"/>
    </row>
    <row r="36" spans="1:33">
      <c r="A36" s="593" t="s">
        <v>2737</v>
      </c>
      <c r="B36" s="39" t="s">
        <v>94</v>
      </c>
      <c r="C36" s="574" t="s">
        <v>102</v>
      </c>
      <c r="D36" s="574"/>
      <c r="E36" s="39">
        <v>34.1</v>
      </c>
      <c r="F36" s="443">
        <v>4000</v>
      </c>
      <c r="G36" s="439">
        <f t="shared" si="27"/>
        <v>136400</v>
      </c>
      <c r="H36" s="48">
        <v>2</v>
      </c>
      <c r="I36" s="441">
        <v>17</v>
      </c>
      <c r="J36" s="43">
        <v>1600</v>
      </c>
      <c r="K36" s="18">
        <f t="shared" si="1"/>
        <v>94.117647058823536</v>
      </c>
      <c r="L36" s="441">
        <v>17</v>
      </c>
      <c r="M36" s="19">
        <f t="shared" si="28"/>
        <v>1528.6624203821657</v>
      </c>
      <c r="N36" s="18">
        <f t="shared" si="3"/>
        <v>89.92131884600974</v>
      </c>
      <c r="O36" s="20">
        <f t="shared" si="4"/>
        <v>0</v>
      </c>
      <c r="P36" s="21">
        <f t="shared" si="5"/>
        <v>-4.1963282128137962</v>
      </c>
      <c r="Q36" s="438">
        <f t="shared" si="6"/>
        <v>0.9554140127388534</v>
      </c>
      <c r="R36" s="573"/>
      <c r="S36" s="49">
        <v>0.25277777777777777</v>
      </c>
      <c r="T36" s="49">
        <v>0.36180555555555555</v>
      </c>
      <c r="U36" s="439">
        <f t="shared" si="30"/>
        <v>5.9999999999999787</v>
      </c>
      <c r="V36" s="442">
        <f t="shared" si="29"/>
        <v>157</v>
      </c>
      <c r="W36" s="439"/>
      <c r="X36" s="439"/>
      <c r="Y36" s="439"/>
      <c r="Z36" s="439"/>
      <c r="AA36" s="575"/>
      <c r="AB36" s="575"/>
      <c r="AC36" s="50"/>
      <c r="AD36" s="27"/>
      <c r="AE36" s="20">
        <f t="shared" si="8"/>
        <v>-71.337579617834308</v>
      </c>
      <c r="AF36" s="438">
        <f t="shared" si="9"/>
        <v>0.95541401273885351</v>
      </c>
      <c r="AG36" s="573"/>
    </row>
    <row r="37" spans="1:33">
      <c r="A37" s="593" t="s">
        <v>2737</v>
      </c>
      <c r="B37" s="39" t="s">
        <v>94</v>
      </c>
      <c r="C37" s="574" t="s">
        <v>101</v>
      </c>
      <c r="D37" s="574"/>
      <c r="E37" s="39">
        <v>25.98</v>
      </c>
      <c r="F37" s="443">
        <v>3438</v>
      </c>
      <c r="G37" s="439">
        <f t="shared" si="27"/>
        <v>89319.24</v>
      </c>
      <c r="H37" s="48" t="s">
        <v>126</v>
      </c>
      <c r="I37" s="441">
        <v>19</v>
      </c>
      <c r="J37" s="43">
        <v>2400</v>
      </c>
      <c r="K37" s="18">
        <f t="shared" si="1"/>
        <v>126.31578947368421</v>
      </c>
      <c r="L37" s="441">
        <v>19</v>
      </c>
      <c r="M37" s="19">
        <f t="shared" si="28"/>
        <v>2292</v>
      </c>
      <c r="N37" s="18">
        <f t="shared" si="3"/>
        <v>120.63157894736842</v>
      </c>
      <c r="O37" s="20">
        <f t="shared" si="4"/>
        <v>0</v>
      </c>
      <c r="P37" s="21">
        <f t="shared" si="5"/>
        <v>-5.6842105263157805</v>
      </c>
      <c r="Q37" s="438">
        <f t="shared" si="6"/>
        <v>0.95500000000000007</v>
      </c>
      <c r="R37" s="573"/>
      <c r="S37" s="49">
        <v>0.36666666666666664</v>
      </c>
      <c r="T37" s="49">
        <v>0.42916666666666664</v>
      </c>
      <c r="U37" s="439">
        <f t="shared" si="30"/>
        <v>6.9999999999999751</v>
      </c>
      <c r="V37" s="442">
        <f t="shared" si="29"/>
        <v>90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8"/>
        <v>-108</v>
      </c>
      <c r="AF37" s="438">
        <f t="shared" si="9"/>
        <v>0.95499999999999996</v>
      </c>
      <c r="AG37" s="573"/>
    </row>
    <row r="38" spans="1:33">
      <c r="A38" s="593" t="s">
        <v>2737</v>
      </c>
      <c r="B38" s="39" t="s">
        <v>94</v>
      </c>
      <c r="C38" s="574" t="s">
        <v>1231</v>
      </c>
      <c r="D38" s="574"/>
      <c r="E38" s="39">
        <v>25.99</v>
      </c>
      <c r="F38" s="443">
        <v>3193</v>
      </c>
      <c r="G38" s="439">
        <f t="shared" si="27"/>
        <v>82986.069999999992</v>
      </c>
      <c r="H38" s="48" t="s">
        <v>126</v>
      </c>
      <c r="I38" s="441">
        <v>18</v>
      </c>
      <c r="J38" s="43">
        <v>2400</v>
      </c>
      <c r="K38" s="18">
        <f t="shared" si="1"/>
        <v>133.33333333333334</v>
      </c>
      <c r="L38" s="441">
        <v>18</v>
      </c>
      <c r="M38" s="19">
        <f t="shared" si="28"/>
        <v>2308.1927710843365</v>
      </c>
      <c r="N38" s="18">
        <f t="shared" si="3"/>
        <v>128.23293172690759</v>
      </c>
      <c r="O38" s="20">
        <f t="shared" si="4"/>
        <v>0</v>
      </c>
      <c r="P38" s="21">
        <f t="shared" si="5"/>
        <v>-5.1004016064257485</v>
      </c>
      <c r="Q38" s="438">
        <f t="shared" si="6"/>
        <v>0.96174698795180691</v>
      </c>
      <c r="R38" s="573"/>
      <c r="S38" s="49">
        <v>0.43472222222222218</v>
      </c>
      <c r="T38" s="49">
        <v>0.49236111111111108</v>
      </c>
      <c r="U38" s="439">
        <f t="shared" si="30"/>
        <v>7.9999999999999716</v>
      </c>
      <c r="V38" s="442">
        <f t="shared" si="29"/>
        <v>83.000000000000028</v>
      </c>
      <c r="W38" s="25">
        <f>T38</f>
        <v>0.49236111111111108</v>
      </c>
      <c r="X38" s="25">
        <f>S39</f>
        <v>0.53333333333333333</v>
      </c>
      <c r="Y38" s="25"/>
      <c r="Z38" s="25"/>
      <c r="AA38" s="575"/>
      <c r="AB38" s="575"/>
      <c r="AC38" s="50"/>
      <c r="AD38" s="27"/>
      <c r="AE38" s="20">
        <f t="shared" si="8"/>
        <v>-91.807228915663472</v>
      </c>
      <c r="AF38" s="438">
        <f t="shared" si="9"/>
        <v>0.96174698795180691</v>
      </c>
      <c r="AG38" s="573"/>
    </row>
    <row r="39" spans="1:33">
      <c r="A39" s="593" t="s">
        <v>2737</v>
      </c>
      <c r="B39" s="39" t="s">
        <v>94</v>
      </c>
      <c r="C39" s="574" t="s">
        <v>102</v>
      </c>
      <c r="D39" s="574"/>
      <c r="E39" s="39">
        <v>34.1</v>
      </c>
      <c r="F39" s="443">
        <v>2960</v>
      </c>
      <c r="G39" s="439">
        <f t="shared" si="27"/>
        <v>100936</v>
      </c>
      <c r="H39" s="48" t="s">
        <v>126</v>
      </c>
      <c r="I39" s="441">
        <v>17</v>
      </c>
      <c r="J39" s="43">
        <v>1600</v>
      </c>
      <c r="K39" s="18">
        <f t="shared" si="1"/>
        <v>94.117647058823536</v>
      </c>
      <c r="L39" s="441">
        <v>17</v>
      </c>
      <c r="M39" s="19">
        <f t="shared" si="28"/>
        <v>1531.0344827586196</v>
      </c>
      <c r="N39" s="18">
        <f t="shared" si="3"/>
        <v>90.06085192697762</v>
      </c>
      <c r="O39" s="20">
        <f t="shared" si="4"/>
        <v>0</v>
      </c>
      <c r="P39" s="21">
        <f t="shared" si="5"/>
        <v>-4.0567951318459166</v>
      </c>
      <c r="Q39" s="438">
        <f t="shared" si="6"/>
        <v>0.95689655172413712</v>
      </c>
      <c r="R39" s="573"/>
      <c r="S39" s="49">
        <v>0.53333333333333333</v>
      </c>
      <c r="T39" s="49">
        <v>0.61388888888888893</v>
      </c>
      <c r="U39" s="439">
        <f t="shared" si="30"/>
        <v>59.000000000000028</v>
      </c>
      <c r="V39" s="442">
        <f t="shared" si="29"/>
        <v>116.00000000000007</v>
      </c>
      <c r="W39" s="25"/>
      <c r="X39" s="25"/>
      <c r="Y39" s="25"/>
      <c r="Z39" s="25"/>
      <c r="AA39" s="575"/>
      <c r="AB39" s="575"/>
      <c r="AC39" s="50"/>
      <c r="AD39" s="27"/>
      <c r="AE39" s="20">
        <f t="shared" si="8"/>
        <v>-68.965517241380439</v>
      </c>
      <c r="AF39" s="438">
        <f t="shared" si="9"/>
        <v>0.95689655172413723</v>
      </c>
      <c r="AG39" s="573"/>
    </row>
    <row r="40" spans="1:33">
      <c r="A40" s="593" t="s">
        <v>2737</v>
      </c>
      <c r="B40" s="39" t="s">
        <v>94</v>
      </c>
      <c r="C40" s="574" t="s">
        <v>100</v>
      </c>
      <c r="D40" s="574"/>
      <c r="E40" s="39">
        <v>24.43</v>
      </c>
      <c r="F40" s="443">
        <v>3079</v>
      </c>
      <c r="G40" s="439">
        <f t="shared" si="27"/>
        <v>75219.97</v>
      </c>
      <c r="H40" s="48" t="s">
        <v>126</v>
      </c>
      <c r="I40" s="441">
        <v>14</v>
      </c>
      <c r="J40" s="43">
        <v>2400</v>
      </c>
      <c r="K40" s="18">
        <f t="shared" si="1"/>
        <v>171.42857142857142</v>
      </c>
      <c r="L40" s="441">
        <v>14</v>
      </c>
      <c r="M40" s="19">
        <f t="shared" si="28"/>
        <v>2309.2499999999991</v>
      </c>
      <c r="N40" s="18">
        <f t="shared" si="3"/>
        <v>164.9464285714285</v>
      </c>
      <c r="O40" s="20">
        <f t="shared" si="4"/>
        <v>0</v>
      </c>
      <c r="P40" s="21">
        <f t="shared" si="5"/>
        <v>-6.482142857142918</v>
      </c>
      <c r="Q40" s="438">
        <f t="shared" si="6"/>
        <v>0.96218749999999964</v>
      </c>
      <c r="R40" s="573"/>
      <c r="S40" s="49">
        <v>0.61875000000000002</v>
      </c>
      <c r="T40" s="49">
        <v>0.6743055555555556</v>
      </c>
      <c r="U40" s="439">
        <f t="shared" si="30"/>
        <v>6.9999999999999751</v>
      </c>
      <c r="V40" s="442">
        <f t="shared" si="29"/>
        <v>80.000000000000028</v>
      </c>
      <c r="W40" s="25"/>
      <c r="X40" s="25"/>
      <c r="Y40" s="28"/>
      <c r="Z40" s="28"/>
      <c r="AA40" s="568"/>
      <c r="AB40" s="569"/>
      <c r="AC40" s="50"/>
      <c r="AD40" s="27"/>
      <c r="AE40" s="20">
        <f t="shared" si="8"/>
        <v>-90.750000000000909</v>
      </c>
      <c r="AF40" s="438">
        <f t="shared" si="9"/>
        <v>0.96218749999999964</v>
      </c>
      <c r="AG40" s="573"/>
    </row>
    <row r="41" spans="1:33">
      <c r="A41" s="593" t="s">
        <v>2737</v>
      </c>
      <c r="B41" s="39" t="s">
        <v>94</v>
      </c>
      <c r="C41" s="574" t="s">
        <v>530</v>
      </c>
      <c r="D41" s="574"/>
      <c r="E41" s="39">
        <v>26.18</v>
      </c>
      <c r="F41" s="443">
        <v>2899</v>
      </c>
      <c r="G41" s="439">
        <f t="shared" si="27"/>
        <v>75895.819999999992</v>
      </c>
      <c r="H41" s="48" t="s">
        <v>126</v>
      </c>
      <c r="I41" s="441">
        <v>20</v>
      </c>
      <c r="J41" s="43">
        <v>2400</v>
      </c>
      <c r="K41" s="18">
        <f t="shared" si="1"/>
        <v>120</v>
      </c>
      <c r="L41" s="441">
        <v>20</v>
      </c>
      <c r="M41" s="19">
        <f t="shared" si="28"/>
        <v>2288.684210526314</v>
      </c>
      <c r="N41" s="18">
        <f t="shared" si="3"/>
        <v>114.4342105263157</v>
      </c>
      <c r="O41" s="20">
        <f t="shared" si="4"/>
        <v>0</v>
      </c>
      <c r="P41" s="21">
        <f t="shared" si="5"/>
        <v>-5.5657894736843048</v>
      </c>
      <c r="Q41" s="438">
        <f t="shared" si="6"/>
        <v>0.95361842105263084</v>
      </c>
      <c r="R41" s="573"/>
      <c r="S41" s="49">
        <v>0.67777777777777781</v>
      </c>
      <c r="T41" s="49">
        <v>0.73055555555555562</v>
      </c>
      <c r="U41" s="439">
        <f t="shared" si="30"/>
        <v>4.9999999999999822</v>
      </c>
      <c r="V41" s="442">
        <f t="shared" si="29"/>
        <v>76.000000000000057</v>
      </c>
      <c r="W41" s="25"/>
      <c r="X41" s="25"/>
      <c r="Y41" s="28"/>
      <c r="Z41" s="28"/>
      <c r="AA41" s="568"/>
      <c r="AB41" s="569"/>
      <c r="AC41" s="50"/>
      <c r="AD41" s="27"/>
      <c r="AE41" s="20">
        <f t="shared" si="8"/>
        <v>-111.31578947368598</v>
      </c>
      <c r="AF41" s="438">
        <f t="shared" si="9"/>
        <v>0.95361842105263084</v>
      </c>
      <c r="AG41" s="573"/>
    </row>
    <row r="42" spans="1:33">
      <c r="A42" s="593" t="s">
        <v>2737</v>
      </c>
      <c r="B42" s="42" t="s">
        <v>2733</v>
      </c>
      <c r="C42" s="576"/>
      <c r="D42" s="576"/>
      <c r="E42" s="440"/>
      <c r="F42" s="42"/>
      <c r="G42" s="18"/>
      <c r="H42" s="443"/>
      <c r="I42" s="32">
        <v>17.375</v>
      </c>
      <c r="J42" s="43">
        <v>2200</v>
      </c>
      <c r="K42" s="18">
        <f t="shared" si="1"/>
        <v>126.61870503597122</v>
      </c>
      <c r="L42" s="32">
        <v>17.375</v>
      </c>
      <c r="M42" s="19">
        <f>AVERAGE(M34:M41)</f>
        <v>2104.7069771905681</v>
      </c>
      <c r="N42" s="18">
        <f t="shared" si="3"/>
        <v>121.13421451456507</v>
      </c>
      <c r="O42" s="20">
        <f t="shared" si="4"/>
        <v>0</v>
      </c>
      <c r="P42" s="21">
        <f t="shared" si="5"/>
        <v>-5.4844905214061441</v>
      </c>
      <c r="Q42" s="438">
        <f t="shared" si="6"/>
        <v>0.95668498963207649</v>
      </c>
      <c r="R42" s="573"/>
      <c r="S42" s="49"/>
      <c r="T42" s="49"/>
      <c r="U42" s="18"/>
      <c r="V42" s="442"/>
      <c r="W42" s="18"/>
      <c r="X42" s="18"/>
      <c r="Y42" s="33">
        <f>SUM(Y34:Y41)</f>
        <v>0</v>
      </c>
      <c r="Z42" s="33">
        <f>SUM(Z34:Z41)</f>
        <v>0</v>
      </c>
      <c r="AA42" s="572"/>
      <c r="AB42" s="572"/>
      <c r="AC42" s="33">
        <v>8</v>
      </c>
      <c r="AD42" s="33">
        <f>SUM(AD34:AD41)</f>
        <v>0</v>
      </c>
      <c r="AE42" s="20">
        <f t="shared" si="8"/>
        <v>-95.293022809431932</v>
      </c>
      <c r="AF42" s="438">
        <f t="shared" si="9"/>
        <v>0.95668498963207638</v>
      </c>
      <c r="AG42" s="573"/>
    </row>
    <row r="43" spans="1:33" ht="15.75" customHeight="1">
      <c r="A43" s="589" t="s">
        <v>2738</v>
      </c>
      <c r="B43" s="39" t="s">
        <v>104</v>
      </c>
      <c r="C43" s="566" t="s">
        <v>105</v>
      </c>
      <c r="D43" s="567"/>
      <c r="E43" s="39">
        <v>37.880000000000003</v>
      </c>
      <c r="F43" s="443">
        <v>1709</v>
      </c>
      <c r="G43" s="439">
        <f t="shared" ref="G43:G46" si="31">E43*F43</f>
        <v>64736.920000000006</v>
      </c>
      <c r="H43" s="48" t="s">
        <v>126</v>
      </c>
      <c r="I43" s="441">
        <v>13</v>
      </c>
      <c r="J43" s="43">
        <v>2000</v>
      </c>
      <c r="K43" s="18">
        <f t="shared" si="1"/>
        <v>153.84615384615384</v>
      </c>
      <c r="L43" s="441">
        <v>13</v>
      </c>
      <c r="M43" s="19">
        <f t="shared" ref="M43:M46" si="32">F43/V43*60</f>
        <v>1934.7169811320757</v>
      </c>
      <c r="N43" s="19">
        <f t="shared" si="3"/>
        <v>148.82438316400584</v>
      </c>
      <c r="O43" s="20">
        <f t="shared" si="4"/>
        <v>0</v>
      </c>
      <c r="P43" s="21">
        <f t="shared" si="5"/>
        <v>-5.0217706821480022</v>
      </c>
      <c r="Q43" s="438">
        <f t="shared" si="6"/>
        <v>0.96735849056603795</v>
      </c>
      <c r="R43" s="584">
        <f>Q47</f>
        <v>0.9585517564229824</v>
      </c>
      <c r="S43" s="49">
        <v>8.3333333333333329E-2</v>
      </c>
      <c r="T43" s="49">
        <v>0.12013888888888888</v>
      </c>
      <c r="U43" s="30"/>
      <c r="V43" s="442">
        <f t="shared" ref="V43:V46" si="33">(T43-S43)*24*60</f>
        <v>52.999999999999993</v>
      </c>
      <c r="W43" s="25">
        <f>T43</f>
        <v>0.12013888888888888</v>
      </c>
      <c r="X43" s="25">
        <f>S44</f>
        <v>0.13958333333333331</v>
      </c>
      <c r="Y43" s="28"/>
      <c r="Z43" s="28"/>
      <c r="AA43" s="568"/>
      <c r="AB43" s="569"/>
      <c r="AC43" s="50">
        <v>4</v>
      </c>
      <c r="AD43" s="27"/>
      <c r="AE43" s="20">
        <f t="shared" si="8"/>
        <v>-65.283018867924284</v>
      </c>
      <c r="AF43" s="438">
        <f t="shared" si="9"/>
        <v>0.96735849056603784</v>
      </c>
      <c r="AG43" s="584">
        <f>AF47</f>
        <v>0.9585517564229824</v>
      </c>
    </row>
    <row r="44" spans="1:33" ht="15.75" customHeight="1">
      <c r="A44" s="590" t="s">
        <v>2738</v>
      </c>
      <c r="B44" s="39" t="s">
        <v>104</v>
      </c>
      <c r="C44" s="566" t="s">
        <v>106</v>
      </c>
      <c r="D44" s="567"/>
      <c r="E44" s="39">
        <v>35.119999999999997</v>
      </c>
      <c r="F44" s="443">
        <v>5651</v>
      </c>
      <c r="G44" s="439">
        <f t="shared" si="31"/>
        <v>198463.12</v>
      </c>
      <c r="H44" s="48" t="s">
        <v>126</v>
      </c>
      <c r="I44" s="441">
        <v>10</v>
      </c>
      <c r="J44" s="43">
        <v>3000</v>
      </c>
      <c r="K44" s="18">
        <f t="shared" si="1"/>
        <v>300</v>
      </c>
      <c r="L44" s="441">
        <v>10</v>
      </c>
      <c r="M44" s="19">
        <f t="shared" si="32"/>
        <v>2873.389830508474</v>
      </c>
      <c r="N44" s="19">
        <f t="shared" si="3"/>
        <v>287.33898305084739</v>
      </c>
      <c r="O44" s="20">
        <f t="shared" si="4"/>
        <v>0</v>
      </c>
      <c r="P44" s="21">
        <f t="shared" si="5"/>
        <v>-12.661016949152611</v>
      </c>
      <c r="Q44" s="438">
        <f t="shared" si="6"/>
        <v>0.95779661016949125</v>
      </c>
      <c r="R44" s="585"/>
      <c r="S44" s="49">
        <v>0.13958333333333331</v>
      </c>
      <c r="T44" s="49">
        <v>0.22152777777777777</v>
      </c>
      <c r="U44" s="439">
        <f t="shared" ref="U44:U46" si="34">(S44-T43)*24*60</f>
        <v>27.999999999999979</v>
      </c>
      <c r="V44" s="442">
        <f t="shared" si="33"/>
        <v>118.00000000000001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-126.61016949152599</v>
      </c>
      <c r="AF44" s="438">
        <f t="shared" si="9"/>
        <v>0.95779661016949136</v>
      </c>
      <c r="AG44" s="585"/>
    </row>
    <row r="45" spans="1:33" ht="15.75" customHeight="1">
      <c r="A45" s="590" t="s">
        <v>2739</v>
      </c>
      <c r="B45" s="39" t="s">
        <v>104</v>
      </c>
      <c r="C45" s="566" t="s">
        <v>107</v>
      </c>
      <c r="D45" s="567"/>
      <c r="E45" s="39">
        <v>21.13</v>
      </c>
      <c r="F45" s="443">
        <v>5456</v>
      </c>
      <c r="G45" s="439">
        <f t="shared" si="31"/>
        <v>115285.28</v>
      </c>
      <c r="H45" s="48" t="s">
        <v>126</v>
      </c>
      <c r="I45" s="441">
        <v>10</v>
      </c>
      <c r="J45" s="43">
        <v>3000</v>
      </c>
      <c r="K45" s="18">
        <f t="shared" si="1"/>
        <v>300</v>
      </c>
      <c r="L45" s="441">
        <v>10</v>
      </c>
      <c r="M45" s="19">
        <f t="shared" si="32"/>
        <v>2871.5789473684213</v>
      </c>
      <c r="N45" s="19">
        <f t="shared" si="3"/>
        <v>287.15789473684214</v>
      </c>
      <c r="O45" s="20">
        <f t="shared" si="4"/>
        <v>0</v>
      </c>
      <c r="P45" s="21">
        <f t="shared" si="5"/>
        <v>-12.842105263157862</v>
      </c>
      <c r="Q45" s="438">
        <f t="shared" si="6"/>
        <v>0.95719298245614048</v>
      </c>
      <c r="R45" s="585"/>
      <c r="S45" s="49">
        <v>0.22499999999999998</v>
      </c>
      <c r="T45" s="49">
        <v>0.30416666666666664</v>
      </c>
      <c r="U45" s="439">
        <f t="shared" si="34"/>
        <v>4.9999999999999822</v>
      </c>
      <c r="V45" s="442">
        <f t="shared" si="33"/>
        <v>114</v>
      </c>
      <c r="W45" s="25"/>
      <c r="X45" s="25"/>
      <c r="Y45" s="28"/>
      <c r="Z45" s="28"/>
      <c r="AA45" s="568"/>
      <c r="AB45" s="569"/>
      <c r="AC45" s="50"/>
      <c r="AD45" s="27"/>
      <c r="AE45" s="20">
        <f t="shared" si="8"/>
        <v>-128.42105263157873</v>
      </c>
      <c r="AF45" s="438">
        <f t="shared" si="9"/>
        <v>0.95719298245614037</v>
      </c>
      <c r="AG45" s="585"/>
    </row>
    <row r="46" spans="1:33" ht="15.75" customHeight="1">
      <c r="A46" s="590" t="s">
        <v>2738</v>
      </c>
      <c r="B46" s="39" t="s">
        <v>104</v>
      </c>
      <c r="C46" s="566" t="s">
        <v>108</v>
      </c>
      <c r="D46" s="567"/>
      <c r="E46" s="39">
        <v>27.17</v>
      </c>
      <c r="F46" s="443">
        <v>6970</v>
      </c>
      <c r="G46" s="439">
        <f t="shared" si="31"/>
        <v>189374.90000000002</v>
      </c>
      <c r="H46" s="48" t="s">
        <v>126</v>
      </c>
      <c r="I46" s="441">
        <v>10</v>
      </c>
      <c r="J46" s="43">
        <v>3000</v>
      </c>
      <c r="K46" s="18">
        <f t="shared" si="1"/>
        <v>300</v>
      </c>
      <c r="L46" s="441">
        <v>10</v>
      </c>
      <c r="M46" s="19">
        <f t="shared" si="32"/>
        <v>2864.3835616438359</v>
      </c>
      <c r="N46" s="19">
        <f t="shared" si="3"/>
        <v>286.43835616438361</v>
      </c>
      <c r="O46" s="20">
        <f t="shared" si="4"/>
        <v>0</v>
      </c>
      <c r="P46" s="21">
        <f t="shared" si="5"/>
        <v>-13.561643835616394</v>
      </c>
      <c r="Q46" s="438">
        <f t="shared" si="6"/>
        <v>0.95479452054794534</v>
      </c>
      <c r="R46" s="585"/>
      <c r="S46" s="49">
        <v>0.30902777777777773</v>
      </c>
      <c r="T46" s="49">
        <v>0.4104166666666666</v>
      </c>
      <c r="U46" s="439">
        <f t="shared" si="34"/>
        <v>6.9999999999999751</v>
      </c>
      <c r="V46" s="442">
        <f t="shared" si="33"/>
        <v>145.99999999999997</v>
      </c>
      <c r="W46" s="25"/>
      <c r="X46" s="25"/>
      <c r="Y46" s="28"/>
      <c r="Z46" s="28"/>
      <c r="AA46" s="568"/>
      <c r="AB46" s="569"/>
      <c r="AC46" s="50"/>
      <c r="AD46" s="27"/>
      <c r="AE46" s="20">
        <f t="shared" si="8"/>
        <v>-135.61643835616405</v>
      </c>
      <c r="AF46" s="438">
        <f t="shared" si="9"/>
        <v>0.95479452054794534</v>
      </c>
      <c r="AG46" s="585"/>
    </row>
    <row r="47" spans="1:33" ht="15.75" customHeight="1">
      <c r="A47" s="591" t="s">
        <v>2739</v>
      </c>
      <c r="B47" s="39" t="s">
        <v>2733</v>
      </c>
      <c r="C47" s="570"/>
      <c r="D47" s="571"/>
      <c r="E47" s="436"/>
      <c r="F47" s="443"/>
      <c r="G47" s="439"/>
      <c r="H47" s="443"/>
      <c r="I47" s="32">
        <v>10.75</v>
      </c>
      <c r="J47" s="43">
        <v>2750</v>
      </c>
      <c r="K47" s="18">
        <f t="shared" si="1"/>
        <v>255.81395348837211</v>
      </c>
      <c r="L47" s="32">
        <v>10.75</v>
      </c>
      <c r="M47" s="19">
        <f>AVERAGE(M43:M46)</f>
        <v>2636.0173301632017</v>
      </c>
      <c r="N47" s="18">
        <f t="shared" si="3"/>
        <v>245.2109144337862</v>
      </c>
      <c r="O47" s="20">
        <f t="shared" si="4"/>
        <v>0</v>
      </c>
      <c r="P47" s="21">
        <f t="shared" si="5"/>
        <v>-10.603039054585906</v>
      </c>
      <c r="Q47" s="438">
        <f t="shared" si="6"/>
        <v>0.9585517564229824</v>
      </c>
      <c r="R47" s="586"/>
      <c r="S47" s="49"/>
      <c r="T47" s="49"/>
      <c r="U47" s="439"/>
      <c r="V47" s="442"/>
      <c r="W47" s="25"/>
      <c r="X47" s="25"/>
      <c r="Y47" s="33">
        <f>SUM(Y43:Y46)</f>
        <v>0</v>
      </c>
      <c r="Z47" s="33">
        <f>SUM(Z43:Z46)</f>
        <v>0</v>
      </c>
      <c r="AA47" s="587"/>
      <c r="AB47" s="588"/>
      <c r="AC47" s="33">
        <v>4</v>
      </c>
      <c r="AD47" s="33">
        <f>SUM(AD43:AD46)</f>
        <v>0</v>
      </c>
      <c r="AE47" s="20">
        <f t="shared" si="8"/>
        <v>-113.98266983679832</v>
      </c>
      <c r="AF47" s="438">
        <f t="shared" si="9"/>
        <v>0.9585517564229824</v>
      </c>
      <c r="AG47" s="586"/>
    </row>
    <row r="48" spans="1:33" ht="15.75" customHeight="1">
      <c r="A48" s="582" t="s">
        <v>2740</v>
      </c>
      <c r="B48" s="39" t="s">
        <v>79</v>
      </c>
      <c r="C48" s="574" t="s">
        <v>109</v>
      </c>
      <c r="D48" s="574"/>
      <c r="E48" s="39">
        <v>46</v>
      </c>
      <c r="F48" s="45">
        <v>2439</v>
      </c>
      <c r="G48" s="439">
        <f t="shared" ref="G48:G54" si="35">E48*F48</f>
        <v>112194</v>
      </c>
      <c r="H48" s="48" t="s">
        <v>126</v>
      </c>
      <c r="I48" s="441">
        <v>16</v>
      </c>
      <c r="J48" s="43">
        <v>2000</v>
      </c>
      <c r="K48" s="18">
        <f t="shared" si="1"/>
        <v>125</v>
      </c>
      <c r="L48" s="441">
        <v>16</v>
      </c>
      <c r="M48" s="19">
        <f t="shared" ref="M48" si="36">F48/V48*60</f>
        <v>1900.5194805194806</v>
      </c>
      <c r="N48" s="19">
        <f t="shared" si="3"/>
        <v>118.78246753246754</v>
      </c>
      <c r="O48" s="20">
        <f t="shared" si="4"/>
        <v>0</v>
      </c>
      <c r="P48" s="21">
        <f t="shared" si="5"/>
        <v>-6.2175324675324646</v>
      </c>
      <c r="Q48" s="438">
        <f t="shared" si="6"/>
        <v>0.95025974025974025</v>
      </c>
      <c r="R48" s="573">
        <f>Q55</f>
        <v>0.95703125152310753</v>
      </c>
      <c r="S48" s="49">
        <v>0.20833333333333334</v>
      </c>
      <c r="T48" s="49">
        <v>0.26180555555555557</v>
      </c>
      <c r="U48" s="30"/>
      <c r="V48" s="442">
        <f t="shared" ref="V48:V54" si="37">(T48-S48)*24*60</f>
        <v>77</v>
      </c>
      <c r="W48" s="30"/>
      <c r="X48" s="30"/>
      <c r="Y48" s="30"/>
      <c r="Z48" s="30"/>
      <c r="AA48" s="575"/>
      <c r="AB48" s="575"/>
      <c r="AC48" s="50">
        <v>7</v>
      </c>
      <c r="AD48" s="27"/>
      <c r="AE48" s="20">
        <f t="shared" si="8"/>
        <v>-99.480519480519433</v>
      </c>
      <c r="AF48" s="438">
        <f t="shared" si="9"/>
        <v>0.95025974025974025</v>
      </c>
      <c r="AG48" s="573">
        <f>AF55</f>
        <v>0.95703125152310742</v>
      </c>
    </row>
    <row r="49" spans="1:33" ht="15.75" customHeight="1">
      <c r="A49" s="582" t="s">
        <v>2740</v>
      </c>
      <c r="B49" s="39" t="s">
        <v>79</v>
      </c>
      <c r="C49" s="574" t="s">
        <v>1233</v>
      </c>
      <c r="D49" s="574"/>
      <c r="E49" s="39">
        <v>46</v>
      </c>
      <c r="F49" s="45">
        <v>3522</v>
      </c>
      <c r="G49" s="439">
        <f t="shared" si="35"/>
        <v>162012</v>
      </c>
      <c r="H49" s="48" t="s">
        <v>126</v>
      </c>
      <c r="I49" s="441">
        <v>16</v>
      </c>
      <c r="J49" s="43">
        <v>2000</v>
      </c>
      <c r="K49" s="18">
        <f t="shared" si="1"/>
        <v>125</v>
      </c>
      <c r="L49" s="441">
        <v>16</v>
      </c>
      <c r="M49" s="19">
        <f>F49/V49*60</f>
        <v>1903.7837837837837</v>
      </c>
      <c r="N49" s="19">
        <f t="shared" si="3"/>
        <v>118.98648648648648</v>
      </c>
      <c r="O49" s="20">
        <f t="shared" si="4"/>
        <v>0</v>
      </c>
      <c r="P49" s="21">
        <f t="shared" si="5"/>
        <v>-6.0135135135135158</v>
      </c>
      <c r="Q49" s="438">
        <f t="shared" si="6"/>
        <v>0.95189189189189183</v>
      </c>
      <c r="R49" s="573"/>
      <c r="S49" s="49">
        <v>0.26597222222222222</v>
      </c>
      <c r="T49" s="49">
        <v>0.34305555555555556</v>
      </c>
      <c r="U49" s="439">
        <f t="shared" ref="U49:U54" si="38">IF(S49=TIME(17,0,0),"",(S49-T48)*24*60)</f>
        <v>5.9999999999999787</v>
      </c>
      <c r="V49" s="442">
        <f t="shared" si="37"/>
        <v>111</v>
      </c>
      <c r="W49" s="25"/>
      <c r="X49" s="25"/>
      <c r="Y49" s="25"/>
      <c r="Z49" s="25"/>
      <c r="AA49" s="575"/>
      <c r="AB49" s="575"/>
      <c r="AC49" s="50"/>
      <c r="AD49" s="27"/>
      <c r="AE49" s="20">
        <f t="shared" si="8"/>
        <v>-96.216216216216253</v>
      </c>
      <c r="AF49" s="438">
        <f t="shared" si="9"/>
        <v>0.95189189189189183</v>
      </c>
      <c r="AG49" s="573"/>
    </row>
    <row r="50" spans="1:33" ht="15.75" customHeight="1">
      <c r="A50" s="582" t="s">
        <v>62</v>
      </c>
      <c r="B50" s="39" t="s">
        <v>74</v>
      </c>
      <c r="C50" s="566" t="s">
        <v>111</v>
      </c>
      <c r="D50" s="567"/>
      <c r="E50" s="39">
        <v>51.75</v>
      </c>
      <c r="F50" s="45">
        <v>799</v>
      </c>
      <c r="G50" s="439">
        <f t="shared" si="35"/>
        <v>41348.25</v>
      </c>
      <c r="H50" s="48" t="s">
        <v>126</v>
      </c>
      <c r="I50" s="441">
        <v>25</v>
      </c>
      <c r="J50" s="43">
        <v>2000</v>
      </c>
      <c r="K50" s="18">
        <f t="shared" si="1"/>
        <v>80</v>
      </c>
      <c r="L50" s="441">
        <v>25</v>
      </c>
      <c r="M50" s="19">
        <f t="shared" ref="M50:M54" si="39">F50/V50*60</f>
        <v>1917.6000000000004</v>
      </c>
      <c r="N50" s="19">
        <f t="shared" si="3"/>
        <v>76.704000000000008</v>
      </c>
      <c r="O50" s="20">
        <f t="shared" si="4"/>
        <v>0</v>
      </c>
      <c r="P50" s="21">
        <f t="shared" si="5"/>
        <v>-3.2959999999999923</v>
      </c>
      <c r="Q50" s="438">
        <f t="shared" si="6"/>
        <v>0.9588000000000001</v>
      </c>
      <c r="R50" s="573"/>
      <c r="S50" s="49">
        <v>0.34722222222222221</v>
      </c>
      <c r="T50" s="49">
        <v>0.36458333333333331</v>
      </c>
      <c r="U50" s="439">
        <f t="shared" si="38"/>
        <v>5.9999999999999787</v>
      </c>
      <c r="V50" s="442">
        <f t="shared" si="37"/>
        <v>24.999999999999993</v>
      </c>
      <c r="W50" s="25"/>
      <c r="X50" s="25"/>
      <c r="Y50" s="28"/>
      <c r="Z50" s="28"/>
      <c r="AA50" s="575"/>
      <c r="AB50" s="575"/>
      <c r="AC50" s="50"/>
      <c r="AD50" s="27"/>
      <c r="AE50" s="20">
        <f t="shared" si="8"/>
        <v>-82.399999999999636</v>
      </c>
      <c r="AF50" s="438">
        <f t="shared" si="9"/>
        <v>0.95880000000000021</v>
      </c>
      <c r="AG50" s="573"/>
    </row>
    <row r="51" spans="1:33" ht="15.75" customHeight="1">
      <c r="A51" s="582" t="s">
        <v>2740</v>
      </c>
      <c r="B51" s="39" t="s">
        <v>74</v>
      </c>
      <c r="C51" s="434" t="s">
        <v>110</v>
      </c>
      <c r="D51" s="435"/>
      <c r="E51" s="39">
        <v>56.43</v>
      </c>
      <c r="F51" s="45">
        <v>1457</v>
      </c>
      <c r="G51" s="439">
        <f t="shared" si="35"/>
        <v>82218.509999999995</v>
      </c>
      <c r="H51" s="48" t="s">
        <v>126</v>
      </c>
      <c r="I51" s="441">
        <v>22</v>
      </c>
      <c r="J51" s="43">
        <v>2000</v>
      </c>
      <c r="K51" s="18">
        <f t="shared" si="1"/>
        <v>90.909090909090907</v>
      </c>
      <c r="L51" s="441">
        <v>22</v>
      </c>
      <c r="M51" s="19">
        <f t="shared" si="39"/>
        <v>1942.6666666666667</v>
      </c>
      <c r="N51" s="19">
        <f t="shared" si="3"/>
        <v>88.303030303030312</v>
      </c>
      <c r="O51" s="20">
        <f t="shared" si="4"/>
        <v>0</v>
      </c>
      <c r="P51" s="21">
        <f t="shared" si="5"/>
        <v>-2.6060606060605949</v>
      </c>
      <c r="Q51" s="438">
        <f t="shared" si="6"/>
        <v>0.97133333333333349</v>
      </c>
      <c r="R51" s="573"/>
      <c r="S51" s="49">
        <v>0.37013888888888885</v>
      </c>
      <c r="T51" s="49">
        <v>0.40138888888888885</v>
      </c>
      <c r="U51" s="439">
        <f t="shared" si="38"/>
        <v>7.9999999999999716</v>
      </c>
      <c r="V51" s="442">
        <f t="shared" si="37"/>
        <v>45</v>
      </c>
      <c r="W51" s="25"/>
      <c r="X51" s="25"/>
      <c r="Y51" s="28"/>
      <c r="Z51" s="28"/>
      <c r="AA51" s="575"/>
      <c r="AB51" s="575"/>
      <c r="AC51" s="50"/>
      <c r="AD51" s="27"/>
      <c r="AE51" s="20">
        <f t="shared" si="8"/>
        <v>-57.333333333333258</v>
      </c>
      <c r="AF51" s="438">
        <f t="shared" si="9"/>
        <v>0.97133333333333338</v>
      </c>
      <c r="AG51" s="573"/>
    </row>
    <row r="52" spans="1:33" ht="15.75" customHeight="1">
      <c r="A52" s="582" t="s">
        <v>2740</v>
      </c>
      <c r="B52" s="39" t="s">
        <v>74</v>
      </c>
      <c r="C52" s="434" t="s">
        <v>88</v>
      </c>
      <c r="D52" s="435"/>
      <c r="E52" s="39">
        <v>59.04</v>
      </c>
      <c r="F52" s="45">
        <v>3506</v>
      </c>
      <c r="G52" s="439">
        <f t="shared" si="35"/>
        <v>206994.24</v>
      </c>
      <c r="H52" s="48" t="s">
        <v>126</v>
      </c>
      <c r="I52" s="441">
        <v>19</v>
      </c>
      <c r="J52" s="43">
        <v>2000</v>
      </c>
      <c r="K52" s="18">
        <f t="shared" si="1"/>
        <v>105.26315789473684</v>
      </c>
      <c r="L52" s="441">
        <v>19</v>
      </c>
      <c r="M52" s="19">
        <f t="shared" si="39"/>
        <v>1912.363636363636</v>
      </c>
      <c r="N52" s="19">
        <f t="shared" si="3"/>
        <v>100.65071770334926</v>
      </c>
      <c r="O52" s="20">
        <f t="shared" si="4"/>
        <v>0</v>
      </c>
      <c r="P52" s="21">
        <f t="shared" si="5"/>
        <v>-4.6124401913875772</v>
      </c>
      <c r="Q52" s="438">
        <f t="shared" si="6"/>
        <v>0.95618181818181802</v>
      </c>
      <c r="R52" s="573"/>
      <c r="S52" s="49">
        <v>0.40694444444444439</v>
      </c>
      <c r="T52" s="49">
        <v>0.48333333333333328</v>
      </c>
      <c r="U52" s="439">
        <f t="shared" si="38"/>
        <v>7.9999999999999716</v>
      </c>
      <c r="V52" s="442">
        <f t="shared" si="37"/>
        <v>110.00000000000001</v>
      </c>
      <c r="W52" s="25"/>
      <c r="X52" s="25"/>
      <c r="Y52" s="28"/>
      <c r="Z52" s="28"/>
      <c r="AA52" s="575"/>
      <c r="AB52" s="575"/>
      <c r="AC52" s="50"/>
      <c r="AD52" s="27"/>
      <c r="AE52" s="20">
        <f t="shared" si="8"/>
        <v>-87.636363636363967</v>
      </c>
      <c r="AF52" s="438">
        <f t="shared" si="9"/>
        <v>0.95618181818181802</v>
      </c>
      <c r="AG52" s="573"/>
    </row>
    <row r="53" spans="1:33" ht="15.75" customHeight="1">
      <c r="A53" s="582" t="s">
        <v>2740</v>
      </c>
      <c r="B53" s="39" t="s">
        <v>74</v>
      </c>
      <c r="C53" s="566" t="s">
        <v>113</v>
      </c>
      <c r="D53" s="567"/>
      <c r="E53" s="39">
        <v>55.56</v>
      </c>
      <c r="F53" s="45">
        <v>2063</v>
      </c>
      <c r="G53" s="439">
        <f t="shared" si="35"/>
        <v>114620.28</v>
      </c>
      <c r="H53" s="48" t="s">
        <v>126</v>
      </c>
      <c r="I53" s="441">
        <v>17</v>
      </c>
      <c r="J53" s="43">
        <v>2000</v>
      </c>
      <c r="K53" s="18">
        <f t="shared" si="1"/>
        <v>117.64705882352941</v>
      </c>
      <c r="L53" s="441">
        <v>17</v>
      </c>
      <c r="M53" s="19">
        <f t="shared" si="39"/>
        <v>1904.3076923076944</v>
      </c>
      <c r="N53" s="19">
        <f t="shared" si="3"/>
        <v>112.01809954751144</v>
      </c>
      <c r="O53" s="20">
        <f t="shared" si="4"/>
        <v>0</v>
      </c>
      <c r="P53" s="21">
        <f t="shared" si="5"/>
        <v>-5.6289592760179659</v>
      </c>
      <c r="Q53" s="438">
        <f t="shared" si="6"/>
        <v>0.95215384615384724</v>
      </c>
      <c r="R53" s="573"/>
      <c r="S53" s="49">
        <v>0.70833333333333337</v>
      </c>
      <c r="T53" s="49">
        <v>0.75347222222222221</v>
      </c>
      <c r="U53" s="439" t="str">
        <f t="shared" si="38"/>
        <v/>
      </c>
      <c r="V53" s="442">
        <f t="shared" si="37"/>
        <v>64.999999999999929</v>
      </c>
      <c r="W53" s="25"/>
      <c r="X53" s="25"/>
      <c r="Y53" s="28"/>
      <c r="Z53" s="28"/>
      <c r="AA53" s="568"/>
      <c r="AB53" s="569"/>
      <c r="AC53" s="50"/>
      <c r="AD53" s="27"/>
      <c r="AE53" s="20">
        <f t="shared" si="8"/>
        <v>-95.692307692305576</v>
      </c>
      <c r="AF53" s="438">
        <f t="shared" si="9"/>
        <v>0.95215384615384724</v>
      </c>
      <c r="AG53" s="573"/>
    </row>
    <row r="54" spans="1:33" ht="15.75" customHeight="1">
      <c r="A54" s="582" t="s">
        <v>2740</v>
      </c>
      <c r="B54" s="39" t="s">
        <v>74</v>
      </c>
      <c r="C54" s="566" t="s">
        <v>1826</v>
      </c>
      <c r="D54" s="567"/>
      <c r="E54" s="39">
        <v>51.06</v>
      </c>
      <c r="F54" s="45">
        <v>3419</v>
      </c>
      <c r="G54" s="439">
        <f t="shared" si="35"/>
        <v>174574.14</v>
      </c>
      <c r="H54" s="48" t="s">
        <v>126</v>
      </c>
      <c r="I54" s="441">
        <v>13</v>
      </c>
      <c r="J54" s="43">
        <v>2000</v>
      </c>
      <c r="K54" s="18">
        <f t="shared" si="1"/>
        <v>153.84615384615384</v>
      </c>
      <c r="L54" s="441">
        <v>13</v>
      </c>
      <c r="M54" s="19">
        <f t="shared" si="39"/>
        <v>1917.1962616822439</v>
      </c>
      <c r="N54" s="19">
        <f t="shared" si="3"/>
        <v>147.47663551401877</v>
      </c>
      <c r="O54" s="20">
        <f t="shared" si="4"/>
        <v>0</v>
      </c>
      <c r="P54" s="21">
        <f t="shared" si="5"/>
        <v>-6.3695183321350726</v>
      </c>
      <c r="Q54" s="438">
        <f t="shared" si="6"/>
        <v>0.958598130841122</v>
      </c>
      <c r="R54" s="573"/>
      <c r="S54" s="49">
        <v>0.7583333333333333</v>
      </c>
      <c r="T54" s="49">
        <v>0.83263888888888882</v>
      </c>
      <c r="U54" s="439">
        <f t="shared" si="38"/>
        <v>6.9999999999999751</v>
      </c>
      <c r="V54" s="442">
        <f t="shared" si="37"/>
        <v>106.99999999999994</v>
      </c>
      <c r="W54" s="25"/>
      <c r="X54" s="25"/>
      <c r="Y54" s="28"/>
      <c r="Z54" s="28"/>
      <c r="AA54" s="568"/>
      <c r="AB54" s="569"/>
      <c r="AC54" s="50"/>
      <c r="AD54" s="27"/>
      <c r="AE54" s="20">
        <f t="shared" si="8"/>
        <v>-82.803738317756142</v>
      </c>
      <c r="AF54" s="438">
        <f t="shared" si="9"/>
        <v>0.95859813084112189</v>
      </c>
      <c r="AG54" s="573"/>
    </row>
    <row r="55" spans="1:33">
      <c r="A55" s="583" t="s">
        <v>2740</v>
      </c>
      <c r="B55" s="39" t="s">
        <v>283</v>
      </c>
      <c r="C55" s="576"/>
      <c r="D55" s="576"/>
      <c r="E55" s="440"/>
      <c r="F55" s="42"/>
      <c r="G55" s="18"/>
      <c r="H55" s="443"/>
      <c r="I55" s="32">
        <v>18.285714285714285</v>
      </c>
      <c r="J55" s="43">
        <v>2000</v>
      </c>
      <c r="K55" s="18">
        <f t="shared" si="1"/>
        <v>109.375</v>
      </c>
      <c r="L55" s="32">
        <v>18.285714285714285</v>
      </c>
      <c r="M55" s="19">
        <f>AVERAGE(M48:M54)</f>
        <v>1914.0625030462149</v>
      </c>
      <c r="N55" s="18">
        <f t="shared" si="3"/>
        <v>104.67529313533988</v>
      </c>
      <c r="O55" s="20">
        <f t="shared" si="4"/>
        <v>0</v>
      </c>
      <c r="P55" s="21">
        <f t="shared" si="5"/>
        <v>-4.699706864660115</v>
      </c>
      <c r="Q55" s="438">
        <f t="shared" si="6"/>
        <v>0.95703125152310753</v>
      </c>
      <c r="R55" s="573"/>
      <c r="S55" s="49"/>
      <c r="T55" s="49"/>
      <c r="U55" s="439"/>
      <c r="V55" s="442"/>
      <c r="W55" s="18"/>
      <c r="X55" s="18"/>
      <c r="Y55" s="33">
        <f>SUM(Y48:Y54)</f>
        <v>0</v>
      </c>
      <c r="Z55" s="33">
        <f>SUM(Z48:Z54)</f>
        <v>0</v>
      </c>
      <c r="AA55" s="572"/>
      <c r="AB55" s="572"/>
      <c r="AC55" s="33">
        <v>7</v>
      </c>
      <c r="AD55" s="33">
        <f>SUM(AD48:AD54)</f>
        <v>0</v>
      </c>
      <c r="AE55" s="20">
        <f>M55-J55</f>
        <v>-85.937496953785057</v>
      </c>
      <c r="AF55" s="438">
        <f t="shared" si="9"/>
        <v>0.95703125152310742</v>
      </c>
      <c r="AG55" s="573"/>
    </row>
    <row r="56" spans="1:33" ht="15.75" customHeight="1">
      <c r="A56" s="580" t="s">
        <v>2741</v>
      </c>
      <c r="B56" s="443" t="s">
        <v>104</v>
      </c>
      <c r="C56" s="574" t="s">
        <v>115</v>
      </c>
      <c r="D56" s="574"/>
      <c r="E56" s="39">
        <v>34.36</v>
      </c>
      <c r="F56" s="45">
        <v>2308</v>
      </c>
      <c r="G56" s="439">
        <f t="shared" ref="G56:G60" si="40">E56*F56</f>
        <v>79302.880000000005</v>
      </c>
      <c r="H56" s="48" t="s">
        <v>126</v>
      </c>
      <c r="I56" s="441">
        <v>10</v>
      </c>
      <c r="J56" s="43">
        <v>3000</v>
      </c>
      <c r="K56" s="18">
        <f t="shared" si="1"/>
        <v>300</v>
      </c>
      <c r="L56" s="441">
        <v>10</v>
      </c>
      <c r="M56" s="19">
        <f t="shared" ref="M56:M60" si="41">F56/V56*60</f>
        <v>2885.0000000000009</v>
      </c>
      <c r="N56" s="18">
        <f t="shared" si="3"/>
        <v>288.50000000000011</v>
      </c>
      <c r="O56" s="20">
        <f t="shared" si="4"/>
        <v>0</v>
      </c>
      <c r="P56" s="21">
        <f t="shared" si="5"/>
        <v>-11.499999999999886</v>
      </c>
      <c r="Q56" s="438">
        <f t="shared" si="6"/>
        <v>0.961666666666667</v>
      </c>
      <c r="R56" s="573">
        <f>Q61</f>
        <v>0.9651678349762689</v>
      </c>
      <c r="S56" s="49">
        <v>0.20833333333333334</v>
      </c>
      <c r="T56" s="49">
        <v>0.24166666666666667</v>
      </c>
      <c r="U56" s="439"/>
      <c r="V56" s="442">
        <f t="shared" ref="V56:V60" si="42">(T56-S56)*24*60</f>
        <v>47.999999999999986</v>
      </c>
      <c r="W56" s="30"/>
      <c r="X56" s="30"/>
      <c r="Y56" s="30"/>
      <c r="Z56" s="30"/>
      <c r="AA56" s="575"/>
      <c r="AB56" s="575"/>
      <c r="AC56" s="50">
        <v>5</v>
      </c>
      <c r="AD56" s="27"/>
      <c r="AE56" s="20">
        <f t="shared" ref="AE56:AE70" si="43">M56-J56</f>
        <v>-114.99999999999909</v>
      </c>
      <c r="AF56" s="438">
        <f t="shared" si="9"/>
        <v>0.961666666666667</v>
      </c>
      <c r="AG56" s="573">
        <f>AF61</f>
        <v>0.9651678349762689</v>
      </c>
    </row>
    <row r="57" spans="1:33" ht="15.75" customHeight="1">
      <c r="A57" s="580" t="s">
        <v>2741</v>
      </c>
      <c r="B57" s="443" t="s">
        <v>104</v>
      </c>
      <c r="C57" s="574" t="s">
        <v>116</v>
      </c>
      <c r="D57" s="574"/>
      <c r="E57" s="39">
        <v>34.36</v>
      </c>
      <c r="F57" s="45">
        <v>1185</v>
      </c>
      <c r="G57" s="439">
        <f t="shared" si="40"/>
        <v>40716.6</v>
      </c>
      <c r="H57" s="48" t="s">
        <v>126</v>
      </c>
      <c r="I57" s="441">
        <v>10</v>
      </c>
      <c r="J57" s="43">
        <v>3000</v>
      </c>
      <c r="K57" s="18">
        <f t="shared" si="1"/>
        <v>300</v>
      </c>
      <c r="L57" s="441">
        <v>10</v>
      </c>
      <c r="M57" s="19">
        <f t="shared" si="41"/>
        <v>2962.5000000000009</v>
      </c>
      <c r="N57" s="18">
        <f t="shared" si="3"/>
        <v>296.25000000000011</v>
      </c>
      <c r="O57" s="20">
        <f t="shared" si="4"/>
        <v>0</v>
      </c>
      <c r="P57" s="21">
        <f t="shared" si="5"/>
        <v>-3.7499999999998863</v>
      </c>
      <c r="Q57" s="438">
        <f t="shared" si="6"/>
        <v>0.98750000000000038</v>
      </c>
      <c r="R57" s="573"/>
      <c r="S57" s="49">
        <v>0.24652777777777779</v>
      </c>
      <c r="T57" s="49">
        <v>0.26319444444444445</v>
      </c>
      <c r="U57" s="439">
        <f t="shared" ref="U57:U60" si="44">(S57-T56)*24*60</f>
        <v>7.0000000000000151</v>
      </c>
      <c r="V57" s="442">
        <f t="shared" si="42"/>
        <v>23.999999999999993</v>
      </c>
      <c r="W57" s="439"/>
      <c r="X57" s="439"/>
      <c r="Y57" s="439"/>
      <c r="Z57" s="439"/>
      <c r="AA57" s="575"/>
      <c r="AB57" s="575"/>
      <c r="AC57" s="50"/>
      <c r="AD57" s="27"/>
      <c r="AE57" s="20">
        <f t="shared" si="43"/>
        <v>-37.499999999999091</v>
      </c>
      <c r="AF57" s="438">
        <f t="shared" si="9"/>
        <v>0.98750000000000027</v>
      </c>
      <c r="AG57" s="573"/>
    </row>
    <row r="58" spans="1:33" ht="15.75" customHeight="1">
      <c r="A58" s="580" t="s">
        <v>2741</v>
      </c>
      <c r="B58" s="443" t="s">
        <v>104</v>
      </c>
      <c r="C58" s="574" t="s">
        <v>117</v>
      </c>
      <c r="D58" s="574"/>
      <c r="E58" s="39">
        <v>26.78</v>
      </c>
      <c r="F58" s="45">
        <v>2621</v>
      </c>
      <c r="G58" s="439">
        <f t="shared" si="40"/>
        <v>70190.38</v>
      </c>
      <c r="H58" s="48" t="s">
        <v>126</v>
      </c>
      <c r="I58" s="441">
        <v>10</v>
      </c>
      <c r="J58" s="43">
        <v>3000</v>
      </c>
      <c r="K58" s="18">
        <f t="shared" si="1"/>
        <v>300</v>
      </c>
      <c r="L58" s="441">
        <v>10</v>
      </c>
      <c r="M58" s="19">
        <f t="shared" si="41"/>
        <v>2859.2727272727288</v>
      </c>
      <c r="N58" s="18">
        <f t="shared" si="3"/>
        <v>285.92727272727291</v>
      </c>
      <c r="O58" s="20">
        <f t="shared" si="4"/>
        <v>0</v>
      </c>
      <c r="P58" s="21">
        <f t="shared" si="5"/>
        <v>-14.072727272727093</v>
      </c>
      <c r="Q58" s="438">
        <f t="shared" si="6"/>
        <v>0.95309090909090965</v>
      </c>
      <c r="R58" s="573"/>
      <c r="S58" s="49">
        <v>0.26666666666666666</v>
      </c>
      <c r="T58" s="49">
        <v>0.30486111111111108</v>
      </c>
      <c r="U58" s="439">
        <f t="shared" si="44"/>
        <v>4.9999999999999822</v>
      </c>
      <c r="V58" s="442">
        <f t="shared" si="42"/>
        <v>54.999999999999964</v>
      </c>
      <c r="W58" s="439"/>
      <c r="X58" s="439"/>
      <c r="Y58" s="439"/>
      <c r="Z58" s="439"/>
      <c r="AA58" s="575"/>
      <c r="AB58" s="575"/>
      <c r="AC58" s="50"/>
      <c r="AD58" s="27"/>
      <c r="AE58" s="20">
        <f t="shared" si="43"/>
        <v>-140.72727272727116</v>
      </c>
      <c r="AF58" s="438">
        <f t="shared" si="9"/>
        <v>0.95309090909090965</v>
      </c>
      <c r="AG58" s="573"/>
    </row>
    <row r="59" spans="1:33" ht="15.75" customHeight="1">
      <c r="A59" s="580" t="s">
        <v>2741</v>
      </c>
      <c r="B59" s="443" t="s">
        <v>104</v>
      </c>
      <c r="C59" s="574" t="s">
        <v>119</v>
      </c>
      <c r="D59" s="574"/>
      <c r="E59" s="39">
        <v>35.869999999999997</v>
      </c>
      <c r="F59" s="45">
        <v>3980</v>
      </c>
      <c r="G59" s="439">
        <f t="shared" si="40"/>
        <v>142762.59999999998</v>
      </c>
      <c r="H59" s="48" t="s">
        <v>126</v>
      </c>
      <c r="I59" s="441">
        <v>9</v>
      </c>
      <c r="J59" s="43">
        <v>3000</v>
      </c>
      <c r="K59" s="18">
        <f t="shared" si="1"/>
        <v>333.33333333333331</v>
      </c>
      <c r="L59" s="441">
        <v>9</v>
      </c>
      <c r="M59" s="19">
        <f t="shared" si="41"/>
        <v>2877.1084337349389</v>
      </c>
      <c r="N59" s="18">
        <f t="shared" si="3"/>
        <v>319.67871485943766</v>
      </c>
      <c r="O59" s="20">
        <f t="shared" si="4"/>
        <v>0</v>
      </c>
      <c r="P59" s="21">
        <f t="shared" si="5"/>
        <v>-13.654618473895653</v>
      </c>
      <c r="Q59" s="438">
        <f t="shared" si="6"/>
        <v>0.95903614457831299</v>
      </c>
      <c r="R59" s="573"/>
      <c r="S59" s="49">
        <v>0.30972222222222218</v>
      </c>
      <c r="T59" s="49">
        <v>0.36736111111111108</v>
      </c>
      <c r="U59" s="439">
        <f t="shared" si="44"/>
        <v>6.9999999999999751</v>
      </c>
      <c r="V59" s="442">
        <f t="shared" si="42"/>
        <v>83.000000000000028</v>
      </c>
      <c r="W59" s="439"/>
      <c r="X59" s="439"/>
      <c r="Y59" s="439"/>
      <c r="Z59" s="439"/>
      <c r="AA59" s="575"/>
      <c r="AB59" s="575"/>
      <c r="AC59" s="50"/>
      <c r="AD59" s="27"/>
      <c r="AE59" s="20">
        <f t="shared" si="43"/>
        <v>-122.8915662650611</v>
      </c>
      <c r="AF59" s="438">
        <f t="shared" si="9"/>
        <v>0.95903614457831299</v>
      </c>
      <c r="AG59" s="573"/>
    </row>
    <row r="60" spans="1:33">
      <c r="A60" s="581" t="s">
        <v>2741</v>
      </c>
      <c r="B60" s="443" t="s">
        <v>104</v>
      </c>
      <c r="C60" s="574" t="s">
        <v>120</v>
      </c>
      <c r="D60" s="574"/>
      <c r="E60" s="39">
        <v>34.35</v>
      </c>
      <c r="F60" s="45">
        <v>2122</v>
      </c>
      <c r="G60" s="439">
        <f t="shared" si="40"/>
        <v>72890.7</v>
      </c>
      <c r="H60" s="48" t="s">
        <v>126</v>
      </c>
      <c r="I60" s="441">
        <v>8</v>
      </c>
      <c r="J60" s="43">
        <v>3000</v>
      </c>
      <c r="K60" s="18">
        <f t="shared" si="1"/>
        <v>375</v>
      </c>
      <c r="L60" s="441">
        <v>8</v>
      </c>
      <c r="M60" s="19">
        <f t="shared" si="41"/>
        <v>2893.6363636363635</v>
      </c>
      <c r="N60" s="18">
        <f t="shared" si="3"/>
        <v>361.70454545454544</v>
      </c>
      <c r="O60" s="20">
        <f t="shared" si="4"/>
        <v>0</v>
      </c>
      <c r="P60" s="21">
        <f t="shared" si="5"/>
        <v>-13.295454545454561</v>
      </c>
      <c r="Q60" s="438">
        <f t="shared" si="6"/>
        <v>0.96454545454545448</v>
      </c>
      <c r="R60" s="573"/>
      <c r="S60" s="49">
        <v>0.37152777777777773</v>
      </c>
      <c r="T60" s="49">
        <v>0.40208333333333329</v>
      </c>
      <c r="U60" s="439">
        <f t="shared" si="44"/>
        <v>5.9999999999999787</v>
      </c>
      <c r="V60" s="442">
        <f t="shared" si="42"/>
        <v>44</v>
      </c>
      <c r="W60" s="25"/>
      <c r="X60" s="25"/>
      <c r="Y60" s="25"/>
      <c r="Z60" s="25"/>
      <c r="AA60" s="575"/>
      <c r="AB60" s="575"/>
      <c r="AC60" s="50"/>
      <c r="AD60" s="27"/>
      <c r="AE60" s="20">
        <f t="shared" si="43"/>
        <v>-106.36363636363649</v>
      </c>
      <c r="AF60" s="438">
        <f t="shared" si="9"/>
        <v>0.96454545454545448</v>
      </c>
      <c r="AG60" s="573"/>
    </row>
    <row r="61" spans="1:33">
      <c r="A61" s="581" t="s">
        <v>2741</v>
      </c>
      <c r="B61" s="39" t="s">
        <v>2733</v>
      </c>
      <c r="C61" s="576"/>
      <c r="D61" s="576"/>
      <c r="E61" s="440"/>
      <c r="F61" s="42"/>
      <c r="G61" s="18"/>
      <c r="H61" s="443"/>
      <c r="I61" s="32">
        <v>9.4</v>
      </c>
      <c r="J61" s="43">
        <v>3000</v>
      </c>
      <c r="K61" s="18">
        <f t="shared" si="1"/>
        <v>319.14893617021278</v>
      </c>
      <c r="L61" s="32">
        <v>9.4</v>
      </c>
      <c r="M61" s="19">
        <f>AVERAGE(M56:M60)</f>
        <v>2895.5035049288067</v>
      </c>
      <c r="N61" s="18">
        <f t="shared" si="3"/>
        <v>308.03228775838369</v>
      </c>
      <c r="O61" s="20">
        <f t="shared" si="4"/>
        <v>0</v>
      </c>
      <c r="P61" s="21">
        <f t="shared" si="5"/>
        <v>-11.11664841182909</v>
      </c>
      <c r="Q61" s="438">
        <f t="shared" si="6"/>
        <v>0.9651678349762689</v>
      </c>
      <c r="R61" s="573"/>
      <c r="S61" s="49"/>
      <c r="T61" s="49"/>
      <c r="U61" s="18"/>
      <c r="V61" s="442"/>
      <c r="W61" s="18"/>
      <c r="X61" s="18"/>
      <c r="Y61" s="33">
        <f>SUM(Y56:Y60)</f>
        <v>0</v>
      </c>
      <c r="Z61" s="33">
        <f>SUM(Z56:Z60)</f>
        <v>0</v>
      </c>
      <c r="AA61" s="572"/>
      <c r="AB61" s="572"/>
      <c r="AC61" s="33">
        <v>5</v>
      </c>
      <c r="AD61" s="33">
        <f>SUM(AD56:AD60)</f>
        <v>0</v>
      </c>
      <c r="AE61" s="20">
        <f t="shared" si="43"/>
        <v>-104.49649507119329</v>
      </c>
      <c r="AF61" s="438">
        <f t="shared" si="9"/>
        <v>0.9651678349762689</v>
      </c>
      <c r="AG61" s="573"/>
    </row>
    <row r="62" spans="1:33" ht="15.75" customHeight="1">
      <c r="A62" s="577" t="s">
        <v>2742</v>
      </c>
      <c r="B62" s="443" t="s">
        <v>94</v>
      </c>
      <c r="C62" s="574" t="s">
        <v>124</v>
      </c>
      <c r="D62" s="574"/>
      <c r="E62" s="39">
        <v>22.69</v>
      </c>
      <c r="F62" s="443">
        <v>4258</v>
      </c>
      <c r="G62" s="439">
        <f t="shared" ref="G62:G69" si="45">E62*F62</f>
        <v>96614.02</v>
      </c>
      <c r="H62" s="48" t="s">
        <v>126</v>
      </c>
      <c r="I62" s="441">
        <v>15</v>
      </c>
      <c r="J62" s="43">
        <v>2400</v>
      </c>
      <c r="K62" s="18">
        <f t="shared" si="1"/>
        <v>160</v>
      </c>
      <c r="L62" s="441">
        <v>15</v>
      </c>
      <c r="M62" s="19">
        <f t="shared" ref="M62:M69" si="46">F62/V62*60</f>
        <v>2281.0714285714294</v>
      </c>
      <c r="N62" s="18">
        <f t="shared" si="3"/>
        <v>152.07142857142861</v>
      </c>
      <c r="O62" s="20">
        <f t="shared" si="4"/>
        <v>0</v>
      </c>
      <c r="P62" s="21">
        <f t="shared" si="5"/>
        <v>-7.928571428571388</v>
      </c>
      <c r="Q62" s="438">
        <f t="shared" si="6"/>
        <v>0.9504464285714288</v>
      </c>
      <c r="R62" s="573">
        <f>Q70</f>
        <v>0.95691826315885442</v>
      </c>
      <c r="S62" s="49">
        <v>8.3333333333333329E-2</v>
      </c>
      <c r="T62" s="49">
        <v>0.16111111111111109</v>
      </c>
      <c r="U62" s="30"/>
      <c r="V62" s="442">
        <f t="shared" ref="V62:V69" si="47">(T62-S62)*24*60</f>
        <v>111.99999999999997</v>
      </c>
      <c r="W62" s="25">
        <f>T62</f>
        <v>0.16111111111111109</v>
      </c>
      <c r="X62" s="25">
        <f>S63</f>
        <v>0.17916666666666664</v>
      </c>
      <c r="Y62" s="25"/>
      <c r="Z62" s="25"/>
      <c r="AA62" s="575"/>
      <c r="AB62" s="575"/>
      <c r="AC62" s="50">
        <v>8</v>
      </c>
      <c r="AD62" s="27"/>
      <c r="AE62" s="20">
        <f t="shared" si="43"/>
        <v>-118.92857142857065</v>
      </c>
      <c r="AF62" s="438">
        <f t="shared" si="9"/>
        <v>0.95044642857142891</v>
      </c>
      <c r="AG62" s="573">
        <f>AF70</f>
        <v>0.95691826315885442</v>
      </c>
    </row>
    <row r="63" spans="1:33" ht="15.75" customHeight="1">
      <c r="A63" s="578" t="s">
        <v>2742</v>
      </c>
      <c r="B63" s="443" t="s">
        <v>94</v>
      </c>
      <c r="C63" s="574" t="s">
        <v>125</v>
      </c>
      <c r="D63" s="574"/>
      <c r="E63" s="39">
        <v>19.02</v>
      </c>
      <c r="F63" s="443">
        <v>6200</v>
      </c>
      <c r="G63" s="439">
        <f t="shared" si="45"/>
        <v>117924</v>
      </c>
      <c r="H63" s="48">
        <v>2</v>
      </c>
      <c r="I63" s="441">
        <v>14</v>
      </c>
      <c r="J63" s="43">
        <v>2400</v>
      </c>
      <c r="K63" s="18">
        <f t="shared" si="1"/>
        <v>171.42857142857142</v>
      </c>
      <c r="L63" s="441">
        <v>14</v>
      </c>
      <c r="M63" s="19">
        <f t="shared" si="46"/>
        <v>2296.296296296297</v>
      </c>
      <c r="N63" s="18">
        <f t="shared" si="3"/>
        <v>164.02116402116408</v>
      </c>
      <c r="O63" s="20">
        <f t="shared" si="4"/>
        <v>0</v>
      </c>
      <c r="P63" s="21">
        <f t="shared" si="5"/>
        <v>-7.4074074074073337</v>
      </c>
      <c r="Q63" s="438">
        <f t="shared" si="6"/>
        <v>0.9567901234567906</v>
      </c>
      <c r="R63" s="573"/>
      <c r="S63" s="49">
        <v>0.17916666666666664</v>
      </c>
      <c r="T63" s="49">
        <v>0.29166666666666663</v>
      </c>
      <c r="U63" s="439">
        <f t="shared" ref="U63:U69" si="48">(S63-T62)*24*60</f>
        <v>25.999999999999986</v>
      </c>
      <c r="V63" s="442">
        <f t="shared" si="47"/>
        <v>161.99999999999997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-103.70370370370301</v>
      </c>
      <c r="AF63" s="438">
        <f t="shared" si="9"/>
        <v>0.95679012345679038</v>
      </c>
      <c r="AG63" s="573"/>
    </row>
    <row r="64" spans="1:33" ht="15.75" customHeight="1">
      <c r="A64" s="578" t="s">
        <v>2742</v>
      </c>
      <c r="B64" s="443" t="s">
        <v>94</v>
      </c>
      <c r="C64" s="574" t="s">
        <v>99</v>
      </c>
      <c r="D64" s="574"/>
      <c r="E64" s="39">
        <v>20.36</v>
      </c>
      <c r="F64" s="443">
        <v>3000</v>
      </c>
      <c r="G64" s="439">
        <f t="shared" si="45"/>
        <v>61080</v>
      </c>
      <c r="H64" s="48">
        <v>2</v>
      </c>
      <c r="I64" s="441">
        <v>17</v>
      </c>
      <c r="J64" s="43">
        <v>2400</v>
      </c>
      <c r="K64" s="18">
        <f t="shared" si="1"/>
        <v>141.1764705882353</v>
      </c>
      <c r="L64" s="441">
        <v>17</v>
      </c>
      <c r="M64" s="19">
        <f t="shared" si="46"/>
        <v>2307.6923076923063</v>
      </c>
      <c r="N64" s="18">
        <f t="shared" si="3"/>
        <v>135.74660633484154</v>
      </c>
      <c r="O64" s="20">
        <f t="shared" si="4"/>
        <v>0</v>
      </c>
      <c r="P64" s="21">
        <f t="shared" si="5"/>
        <v>-5.4298642533937596</v>
      </c>
      <c r="Q64" s="438">
        <f t="shared" si="6"/>
        <v>0.9615384615384609</v>
      </c>
      <c r="R64" s="573"/>
      <c r="S64" s="49">
        <v>0.29583333333333328</v>
      </c>
      <c r="T64" s="49">
        <v>0.35</v>
      </c>
      <c r="U64" s="439">
        <f t="shared" si="48"/>
        <v>5.9999999999999787</v>
      </c>
      <c r="V64" s="442">
        <f t="shared" si="47"/>
        <v>78.000000000000043</v>
      </c>
      <c r="W64" s="25"/>
      <c r="X64" s="25"/>
      <c r="Y64" s="25"/>
      <c r="Z64" s="25"/>
      <c r="AA64" s="575"/>
      <c r="AB64" s="575"/>
      <c r="AC64" s="50"/>
      <c r="AD64" s="27"/>
      <c r="AE64" s="20">
        <f t="shared" si="43"/>
        <v>-92.307692307693742</v>
      </c>
      <c r="AF64" s="438">
        <f t="shared" si="9"/>
        <v>0.9615384615384609</v>
      </c>
      <c r="AG64" s="573"/>
    </row>
    <row r="65" spans="1:33" ht="15.75" customHeight="1">
      <c r="A65" s="578" t="s">
        <v>2742</v>
      </c>
      <c r="B65" s="443" t="s">
        <v>94</v>
      </c>
      <c r="C65" s="574" t="s">
        <v>123</v>
      </c>
      <c r="D65" s="574"/>
      <c r="E65" s="39">
        <v>20.21</v>
      </c>
      <c r="F65" s="443">
        <v>3512</v>
      </c>
      <c r="G65" s="439">
        <f t="shared" si="45"/>
        <v>70977.52</v>
      </c>
      <c r="H65" s="48" t="s">
        <v>126</v>
      </c>
      <c r="I65" s="441">
        <v>15</v>
      </c>
      <c r="J65" s="43">
        <v>2400</v>
      </c>
      <c r="K65" s="18">
        <f t="shared" si="1"/>
        <v>160</v>
      </c>
      <c r="L65" s="441">
        <v>15</v>
      </c>
      <c r="M65" s="19">
        <f t="shared" si="46"/>
        <v>2290.4347826086955</v>
      </c>
      <c r="N65" s="18">
        <f t="shared" si="3"/>
        <v>152.69565217391303</v>
      </c>
      <c r="O65" s="20">
        <f t="shared" si="4"/>
        <v>0</v>
      </c>
      <c r="P65" s="21">
        <f t="shared" si="5"/>
        <v>-7.3043478260869676</v>
      </c>
      <c r="Q65" s="438">
        <f t="shared" si="6"/>
        <v>0.95434782608695645</v>
      </c>
      <c r="R65" s="573"/>
      <c r="S65" s="49">
        <v>0.35347222222222219</v>
      </c>
      <c r="T65" s="49">
        <v>0.41736111111111107</v>
      </c>
      <c r="U65" s="439">
        <f t="shared" si="48"/>
        <v>4.9999999999999822</v>
      </c>
      <c r="V65" s="442">
        <f t="shared" si="47"/>
        <v>92</v>
      </c>
      <c r="W65" s="25"/>
      <c r="X65" s="25"/>
      <c r="Y65" s="25"/>
      <c r="Z65" s="25"/>
      <c r="AA65" s="575"/>
      <c r="AB65" s="575"/>
      <c r="AC65" s="50"/>
      <c r="AD65" s="27"/>
      <c r="AE65" s="20">
        <f t="shared" si="43"/>
        <v>-109.56521739130449</v>
      </c>
      <c r="AF65" s="438">
        <f t="shared" si="9"/>
        <v>0.95434782608695645</v>
      </c>
      <c r="AG65" s="573"/>
    </row>
    <row r="66" spans="1:33" ht="15.75" customHeight="1">
      <c r="A66" s="578" t="s">
        <v>2743</v>
      </c>
      <c r="B66" s="443" t="s">
        <v>94</v>
      </c>
      <c r="C66" s="574" t="s">
        <v>1954</v>
      </c>
      <c r="D66" s="574"/>
      <c r="E66" s="39">
        <v>20.21</v>
      </c>
      <c r="F66" s="443">
        <v>3200</v>
      </c>
      <c r="G66" s="439">
        <f t="shared" si="45"/>
        <v>64672</v>
      </c>
      <c r="H66" s="48">
        <v>2</v>
      </c>
      <c r="I66" s="441">
        <v>18</v>
      </c>
      <c r="J66" s="43">
        <v>2400</v>
      </c>
      <c r="K66" s="18">
        <f t="shared" si="1"/>
        <v>133.33333333333334</v>
      </c>
      <c r="L66" s="441">
        <v>18</v>
      </c>
      <c r="M66" s="19">
        <f t="shared" si="46"/>
        <v>2285.7142857142849</v>
      </c>
      <c r="N66" s="18">
        <f t="shared" si="3"/>
        <v>126.98412698412693</v>
      </c>
      <c r="O66" s="20">
        <f t="shared" si="4"/>
        <v>0</v>
      </c>
      <c r="P66" s="21">
        <f t="shared" si="5"/>
        <v>-6.3492063492064119</v>
      </c>
      <c r="Q66" s="438">
        <f t="shared" si="6"/>
        <v>0.95238095238095188</v>
      </c>
      <c r="R66" s="573"/>
      <c r="S66" s="49">
        <v>0.42291666666666661</v>
      </c>
      <c r="T66" s="49">
        <v>0.48124999999999996</v>
      </c>
      <c r="U66" s="439">
        <f t="shared" si="48"/>
        <v>7.9999999999999716</v>
      </c>
      <c r="V66" s="442">
        <f t="shared" si="47"/>
        <v>84.000000000000028</v>
      </c>
      <c r="W66" s="25">
        <f>T66</f>
        <v>0.48124999999999996</v>
      </c>
      <c r="X66" s="25">
        <f>S67</f>
        <v>0.52083333333333326</v>
      </c>
      <c r="Y66" s="25"/>
      <c r="Z66" s="25"/>
      <c r="AA66" s="575"/>
      <c r="AB66" s="575"/>
      <c r="AC66" s="50"/>
      <c r="AD66" s="27"/>
      <c r="AE66" s="20">
        <f t="shared" si="43"/>
        <v>-114.28571428571513</v>
      </c>
      <c r="AF66" s="438">
        <f t="shared" si="9"/>
        <v>0.952380952380952</v>
      </c>
      <c r="AG66" s="573"/>
    </row>
    <row r="67" spans="1:33" ht="15.75" customHeight="1">
      <c r="A67" s="578" t="s">
        <v>2742</v>
      </c>
      <c r="B67" s="443" t="s">
        <v>94</v>
      </c>
      <c r="C67" s="574" t="s">
        <v>125</v>
      </c>
      <c r="D67" s="574"/>
      <c r="E67" s="39">
        <v>19.02</v>
      </c>
      <c r="F67" s="443">
        <v>4186</v>
      </c>
      <c r="G67" s="439">
        <f t="shared" si="45"/>
        <v>79617.72</v>
      </c>
      <c r="H67" s="48" t="s">
        <v>126</v>
      </c>
      <c r="I67" s="441">
        <v>14</v>
      </c>
      <c r="J67" s="43">
        <v>2400</v>
      </c>
      <c r="K67" s="18">
        <f t="shared" si="1"/>
        <v>171.42857142857142</v>
      </c>
      <c r="L67" s="441">
        <v>14</v>
      </c>
      <c r="M67" s="19">
        <f t="shared" si="46"/>
        <v>2283.2727272727284</v>
      </c>
      <c r="N67" s="18">
        <f t="shared" si="3"/>
        <v>163.09090909090918</v>
      </c>
      <c r="O67" s="20">
        <f t="shared" si="4"/>
        <v>0</v>
      </c>
      <c r="P67" s="21">
        <f t="shared" si="5"/>
        <v>-8.3376623376622376</v>
      </c>
      <c r="Q67" s="438">
        <f t="shared" si="6"/>
        <v>0.95136363636363697</v>
      </c>
      <c r="R67" s="573"/>
      <c r="S67" s="49">
        <v>0.52083333333333326</v>
      </c>
      <c r="T67" s="49">
        <v>0.5972222222222221</v>
      </c>
      <c r="U67" s="439">
        <f t="shared" si="48"/>
        <v>56.999999999999957</v>
      </c>
      <c r="V67" s="442">
        <f t="shared" si="47"/>
        <v>109.99999999999993</v>
      </c>
      <c r="W67" s="25"/>
      <c r="X67" s="25"/>
      <c r="Y67" s="25"/>
      <c r="Z67" s="25"/>
      <c r="AA67" s="575"/>
      <c r="AB67" s="575"/>
      <c r="AC67" s="50"/>
      <c r="AD67" s="27"/>
      <c r="AE67" s="20">
        <f t="shared" si="43"/>
        <v>-116.72727272727161</v>
      </c>
      <c r="AF67" s="438">
        <f t="shared" si="9"/>
        <v>0.95136363636363686</v>
      </c>
      <c r="AG67" s="573"/>
    </row>
    <row r="68" spans="1:33" ht="15.75" customHeight="1">
      <c r="A68" s="578" t="s">
        <v>2742</v>
      </c>
      <c r="B68" s="443" t="s">
        <v>94</v>
      </c>
      <c r="C68" s="566" t="s">
        <v>1954</v>
      </c>
      <c r="D68" s="567"/>
      <c r="E68" s="39">
        <v>20.21</v>
      </c>
      <c r="F68" s="443">
        <v>2393</v>
      </c>
      <c r="G68" s="439">
        <f t="shared" si="45"/>
        <v>48362.53</v>
      </c>
      <c r="H68" s="48" t="s">
        <v>126</v>
      </c>
      <c r="I68" s="441">
        <v>18</v>
      </c>
      <c r="J68" s="43">
        <v>2400</v>
      </c>
      <c r="K68" s="18">
        <f t="shared" si="1"/>
        <v>133.33333333333334</v>
      </c>
      <c r="L68" s="441">
        <v>18</v>
      </c>
      <c r="M68" s="19">
        <f t="shared" si="46"/>
        <v>2315.8064516129052</v>
      </c>
      <c r="N68" s="18">
        <f t="shared" si="3"/>
        <v>128.65591397849474</v>
      </c>
      <c r="O68" s="20">
        <f t="shared" si="4"/>
        <v>0</v>
      </c>
      <c r="P68" s="21">
        <f t="shared" si="5"/>
        <v>-4.6774193548386052</v>
      </c>
      <c r="Q68" s="438">
        <f t="shared" si="6"/>
        <v>0.9649193548387105</v>
      </c>
      <c r="R68" s="573"/>
      <c r="S68" s="49">
        <v>0.60138888888888875</v>
      </c>
      <c r="T68" s="49">
        <v>0.64444444444444426</v>
      </c>
      <c r="U68" s="439">
        <f t="shared" si="48"/>
        <v>5.9999999999999787</v>
      </c>
      <c r="V68" s="442">
        <f t="shared" si="47"/>
        <v>61.999999999999943</v>
      </c>
      <c r="W68" s="25"/>
      <c r="X68" s="25"/>
      <c r="Y68" s="28"/>
      <c r="Z68" s="28"/>
      <c r="AA68" s="568"/>
      <c r="AB68" s="569"/>
      <c r="AC68" s="50"/>
      <c r="AD68" s="27"/>
      <c r="AE68" s="20">
        <f t="shared" si="43"/>
        <v>-84.193548387094779</v>
      </c>
      <c r="AF68" s="438">
        <f t="shared" si="9"/>
        <v>0.9649193548387105</v>
      </c>
      <c r="AG68" s="573"/>
    </row>
    <row r="69" spans="1:33" ht="15.75" customHeight="1">
      <c r="A69" s="578" t="s">
        <v>2742</v>
      </c>
      <c r="B69" s="443" t="s">
        <v>94</v>
      </c>
      <c r="C69" s="566" t="s">
        <v>99</v>
      </c>
      <c r="D69" s="567"/>
      <c r="E69" s="39">
        <v>20.36</v>
      </c>
      <c r="F69" s="443">
        <v>2274</v>
      </c>
      <c r="G69" s="439">
        <f t="shared" si="45"/>
        <v>46298.64</v>
      </c>
      <c r="H69" s="48" t="s">
        <v>126</v>
      </c>
      <c r="I69" s="441">
        <v>17</v>
      </c>
      <c r="J69" s="43">
        <v>2400</v>
      </c>
      <c r="K69" s="18">
        <f t="shared" ref="K69:K70" si="49">J69/I69</f>
        <v>141.1764705882353</v>
      </c>
      <c r="L69" s="441">
        <v>17</v>
      </c>
      <c r="M69" s="19">
        <f t="shared" si="46"/>
        <v>2312.542372881358</v>
      </c>
      <c r="N69" s="18">
        <f t="shared" ref="N69:N70" si="50">M69/L69</f>
        <v>136.0319042871387</v>
      </c>
      <c r="O69" s="20">
        <f t="shared" ref="O69:O70" si="51">L69-I69</f>
        <v>0</v>
      </c>
      <c r="P69" s="21">
        <f t="shared" ref="P69:P70" si="52">N69-K69</f>
        <v>-5.144566301096603</v>
      </c>
      <c r="Q69" s="438">
        <f t="shared" ref="Q69:Q70" si="53">N69/K69</f>
        <v>0.96355932203389905</v>
      </c>
      <c r="R69" s="573"/>
      <c r="S69" s="49">
        <v>0.64930555555555536</v>
      </c>
      <c r="T69" s="49">
        <v>0.69027777777777755</v>
      </c>
      <c r="U69" s="439">
        <f t="shared" si="48"/>
        <v>6.9999999999999751</v>
      </c>
      <c r="V69" s="442">
        <f t="shared" si="47"/>
        <v>58.99999999999995</v>
      </c>
      <c r="W69" s="25"/>
      <c r="X69" s="25"/>
      <c r="Y69" s="28"/>
      <c r="Z69" s="28"/>
      <c r="AA69" s="568"/>
      <c r="AB69" s="569"/>
      <c r="AC69" s="50"/>
      <c r="AD69" s="27"/>
      <c r="AE69" s="20">
        <f t="shared" si="43"/>
        <v>-87.457627118641994</v>
      </c>
      <c r="AF69" s="438">
        <f t="shared" ref="AF69:AF70" si="54">M69/J69</f>
        <v>0.96355932203389916</v>
      </c>
      <c r="AG69" s="573"/>
    </row>
    <row r="70" spans="1:33" ht="16.5" customHeight="1">
      <c r="A70" s="579" t="s">
        <v>2742</v>
      </c>
      <c r="B70" s="39" t="s">
        <v>2744</v>
      </c>
      <c r="C70" s="570"/>
      <c r="D70" s="571"/>
      <c r="E70" s="440"/>
      <c r="F70" s="42"/>
      <c r="G70" s="18"/>
      <c r="H70" s="443"/>
      <c r="I70" s="32">
        <v>16</v>
      </c>
      <c r="J70" s="43">
        <v>2400</v>
      </c>
      <c r="K70" s="18">
        <f t="shared" si="49"/>
        <v>150</v>
      </c>
      <c r="L70" s="32">
        <v>16</v>
      </c>
      <c r="M70" s="19">
        <f>AVERAGE(M62:M69)</f>
        <v>2296.6038315812507</v>
      </c>
      <c r="N70" s="18">
        <f t="shared" si="50"/>
        <v>143.53773947382817</v>
      </c>
      <c r="O70" s="20">
        <f t="shared" si="51"/>
        <v>0</v>
      </c>
      <c r="P70" s="21">
        <f t="shared" si="52"/>
        <v>-6.462260526171832</v>
      </c>
      <c r="Q70" s="438">
        <f t="shared" si="53"/>
        <v>0.95691826315885442</v>
      </c>
      <c r="R70" s="573"/>
      <c r="S70" s="49"/>
      <c r="T70" s="49"/>
      <c r="U70" s="18"/>
      <c r="V70" s="442"/>
      <c r="W70" s="18"/>
      <c r="X70" s="18"/>
      <c r="Y70" s="33">
        <f>SUM(Y62:Y69)</f>
        <v>0</v>
      </c>
      <c r="Z70" s="33">
        <f>SUM(Z62:Z69)</f>
        <v>0</v>
      </c>
      <c r="AA70" s="572"/>
      <c r="AB70" s="572"/>
      <c r="AC70" s="33">
        <v>8</v>
      </c>
      <c r="AD70" s="33">
        <f>SUM(AD62:AD69)</f>
        <v>0</v>
      </c>
      <c r="AE70" s="20">
        <f t="shared" si="43"/>
        <v>-103.39616841874931</v>
      </c>
      <c r="AF70" s="438">
        <f t="shared" si="54"/>
        <v>0.95691826315885442</v>
      </c>
      <c r="AG70" s="573"/>
    </row>
    <row r="71" spans="1:33">
      <c r="B71" s="124"/>
      <c r="C71" s="124"/>
      <c r="D71" s="451"/>
      <c r="E71" s="451"/>
      <c r="F71" s="124"/>
    </row>
  </sheetData>
  <mergeCells count="193">
    <mergeCell ref="AG62:AG70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62:A70"/>
    <mergeCell ref="C62:D62"/>
    <mergeCell ref="R62:R70"/>
    <mergeCell ref="AA62:AB62"/>
    <mergeCell ref="AA67:AB67"/>
    <mergeCell ref="A56:A61"/>
    <mergeCell ref="C56:D56"/>
    <mergeCell ref="R56:R61"/>
    <mergeCell ref="AA56:AB56"/>
    <mergeCell ref="C68:D68"/>
    <mergeCell ref="AA68:AB68"/>
    <mergeCell ref="C69:D69"/>
    <mergeCell ref="AA69:AB69"/>
    <mergeCell ref="C70:D70"/>
    <mergeCell ref="AA70:AB70"/>
    <mergeCell ref="AG56:AG61"/>
    <mergeCell ref="C57:D57"/>
    <mergeCell ref="AA57:AB57"/>
    <mergeCell ref="C58:D58"/>
    <mergeCell ref="AA58:AB58"/>
    <mergeCell ref="C59:D59"/>
    <mergeCell ref="AA52:AB52"/>
    <mergeCell ref="C53:D53"/>
    <mergeCell ref="AA53:AB53"/>
    <mergeCell ref="C54:D54"/>
    <mergeCell ref="AA54:AB54"/>
    <mergeCell ref="C55:D55"/>
    <mergeCell ref="AA55:AB55"/>
    <mergeCell ref="AA59:AB59"/>
    <mergeCell ref="C60:D60"/>
    <mergeCell ref="AA60:AB60"/>
    <mergeCell ref="C61:D61"/>
    <mergeCell ref="AA61:AB61"/>
    <mergeCell ref="A48:A55"/>
    <mergeCell ref="C48:D48"/>
    <mergeCell ref="R48:R55"/>
    <mergeCell ref="AA48:AB48"/>
    <mergeCell ref="AG48:AG55"/>
    <mergeCell ref="C49:D49"/>
    <mergeCell ref="AA49:AB49"/>
    <mergeCell ref="C50:D50"/>
    <mergeCell ref="AA50:AB50"/>
    <mergeCell ref="AA51:AB51"/>
    <mergeCell ref="AG43:AG47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AA41:AB41"/>
    <mergeCell ref="C42:D42"/>
    <mergeCell ref="AA42:AB42"/>
    <mergeCell ref="A43:A47"/>
    <mergeCell ref="C43:D43"/>
    <mergeCell ref="R43:R47"/>
    <mergeCell ref="AA43:AB43"/>
    <mergeCell ref="AA37:AB37"/>
    <mergeCell ref="C38:D38"/>
    <mergeCell ref="AA38:AB38"/>
    <mergeCell ref="C39:D39"/>
    <mergeCell ref="AA39:AB39"/>
    <mergeCell ref="C40:D40"/>
    <mergeCell ref="AA40:AB40"/>
    <mergeCell ref="A34:A42"/>
    <mergeCell ref="C34:D34"/>
    <mergeCell ref="R34:R42"/>
    <mergeCell ref="AA34:AB34"/>
    <mergeCell ref="A27:A33"/>
    <mergeCell ref="C27:D27"/>
    <mergeCell ref="R27:R33"/>
    <mergeCell ref="AA27:AB27"/>
    <mergeCell ref="AA32:AB32"/>
    <mergeCell ref="C33:D33"/>
    <mergeCell ref="AA33:AB33"/>
    <mergeCell ref="AG34:AG42"/>
    <mergeCell ref="C35:D35"/>
    <mergeCell ref="AA35:AB35"/>
    <mergeCell ref="C36:D36"/>
    <mergeCell ref="AA36:AB36"/>
    <mergeCell ref="C37:D37"/>
    <mergeCell ref="AG27:AG33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C41:D41"/>
    <mergeCell ref="AG19:AG26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26:D26"/>
    <mergeCell ref="AA26:AB26"/>
    <mergeCell ref="A19:A26"/>
    <mergeCell ref="C19:D19"/>
    <mergeCell ref="R19:R26"/>
    <mergeCell ref="AA19:AB19"/>
    <mergeCell ref="AA24:AB24"/>
    <mergeCell ref="C25:D25"/>
    <mergeCell ref="AA25:AB25"/>
    <mergeCell ref="A14:A18"/>
    <mergeCell ref="C14:D14"/>
    <mergeCell ref="R14:R18"/>
    <mergeCell ref="AA14:AB14"/>
    <mergeCell ref="AG14:AG18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9:O67 O55:O56 O70 O5:O9 O13:O15 O18:O53">
    <cfRule type="cellIs" dxfId="1576" priority="48" operator="greaterThan">
      <formula>0</formula>
    </cfRule>
  </conditionalFormatting>
  <conditionalFormatting sqref="P5:P7 P59:P60 AE59:AE60 P62:P67 P27:P32 P56 P9 P13:P15 P19:P25 P48:P53 P34:P46 AE5:AE56 AE62:AE70">
    <cfRule type="cellIs" dxfId="1575" priority="52" operator="lessThan">
      <formula>0</formula>
    </cfRule>
  </conditionalFormatting>
  <conditionalFormatting sqref="AF59:AF60 Q59:Q67 Q55:Q56 Q70 Q5:Q9 Q13:Q15 Q18:Q53 AF5:AF56 AF62:AF70">
    <cfRule type="cellIs" dxfId="1574" priority="49" operator="greaterThan">
      <formula>1</formula>
    </cfRule>
    <cfRule type="cellIs" dxfId="1573" priority="50" operator="lessThan">
      <formula>0.8</formula>
    </cfRule>
  </conditionalFormatting>
  <conditionalFormatting sqref="AG14:AG15 R14:R15 AG59 R59:R67 R18:R24 AG18:AG24 AG55:AG56 R55:R56 R70 AG5:AG9 R5:R9 AG26:AG53 R26:R53">
    <cfRule type="cellIs" dxfId="1572" priority="54" operator="lessThan">
      <formula>0.8</formula>
    </cfRule>
  </conditionalFormatting>
  <conditionalFormatting sqref="AG43">
    <cfRule type="cellIs" dxfId="1571" priority="56" operator="lessThan">
      <formula>0.8</formula>
    </cfRule>
  </conditionalFormatting>
  <conditionalFormatting sqref="AG19:AG24">
    <cfRule type="cellIs" dxfId="1570" priority="53" operator="lessThan">
      <formula>0.8</formula>
    </cfRule>
  </conditionalFormatting>
  <conditionalFormatting sqref="AG27">
    <cfRule type="cellIs" dxfId="1569" priority="55" operator="lessThan">
      <formula>0.8</formula>
    </cfRule>
  </conditionalFormatting>
  <conditionalFormatting sqref="AG34:AG41">
    <cfRule type="cellIs" dxfId="1568" priority="51" operator="lessThan">
      <formula>0.8</formula>
    </cfRule>
  </conditionalFormatting>
  <conditionalFormatting sqref="AE61">
    <cfRule type="cellIs" dxfId="1567" priority="47" operator="lessThan">
      <formula>0</formula>
    </cfRule>
  </conditionalFormatting>
  <conditionalFormatting sqref="AF61">
    <cfRule type="cellIs" dxfId="1566" priority="45" operator="greaterThan">
      <formula>1</formula>
    </cfRule>
    <cfRule type="cellIs" dxfId="1565" priority="46" operator="lessThan">
      <formula>0.8</formula>
    </cfRule>
  </conditionalFormatting>
  <conditionalFormatting sqref="O16:O17">
    <cfRule type="cellIs" dxfId="1564" priority="40" operator="greaterThan">
      <formula>0</formula>
    </cfRule>
  </conditionalFormatting>
  <conditionalFormatting sqref="P16:P17">
    <cfRule type="cellIs" dxfId="1563" priority="43" operator="lessThan">
      <formula>0</formula>
    </cfRule>
  </conditionalFormatting>
  <conditionalFormatting sqref="Q16:Q17">
    <cfRule type="cellIs" dxfId="1562" priority="41" operator="greaterThan">
      <formula>1</formula>
    </cfRule>
    <cfRule type="cellIs" dxfId="1561" priority="42" operator="lessThan">
      <formula>0.8</formula>
    </cfRule>
  </conditionalFormatting>
  <conditionalFormatting sqref="R16:R17 AG16:AG17">
    <cfRule type="cellIs" dxfId="1560" priority="44" operator="lessThan">
      <formula>0.8</formula>
    </cfRule>
  </conditionalFormatting>
  <conditionalFormatting sqref="O10:O12">
    <cfRule type="cellIs" dxfId="1559" priority="36" operator="greaterThan">
      <formula>0</formula>
    </cfRule>
  </conditionalFormatting>
  <conditionalFormatting sqref="P10:P12">
    <cfRule type="cellIs" dxfId="1558" priority="39" operator="lessThan">
      <formula>0</formula>
    </cfRule>
  </conditionalFormatting>
  <conditionalFormatting sqref="Q10:Q12">
    <cfRule type="cellIs" dxfId="1557" priority="37" operator="greaterThan">
      <formula>1</formula>
    </cfRule>
    <cfRule type="cellIs" dxfId="1556" priority="38" operator="lessThan">
      <formula>0.8</formula>
    </cfRule>
  </conditionalFormatting>
  <conditionalFormatting sqref="O54">
    <cfRule type="cellIs" dxfId="1555" priority="31" operator="greaterThan">
      <formula>0</formula>
    </cfRule>
  </conditionalFormatting>
  <conditionalFormatting sqref="P54">
    <cfRule type="cellIs" dxfId="1554" priority="34" operator="lessThan">
      <formula>0</formula>
    </cfRule>
  </conditionalFormatting>
  <conditionalFormatting sqref="Q54">
    <cfRule type="cellIs" dxfId="1553" priority="32" operator="greaterThan">
      <formula>1</formula>
    </cfRule>
    <cfRule type="cellIs" dxfId="1552" priority="33" operator="lessThan">
      <formula>0.8</formula>
    </cfRule>
  </conditionalFormatting>
  <conditionalFormatting sqref="R54 AG54">
    <cfRule type="cellIs" dxfId="1551" priority="35" operator="lessThan">
      <formula>0.8</formula>
    </cfRule>
  </conditionalFormatting>
  <conditionalFormatting sqref="O58">
    <cfRule type="cellIs" dxfId="1550" priority="26" operator="greaterThan">
      <formula>0</formula>
    </cfRule>
  </conditionalFormatting>
  <conditionalFormatting sqref="P58 AE58">
    <cfRule type="cellIs" dxfId="1549" priority="29" operator="lessThan">
      <formula>0</formula>
    </cfRule>
  </conditionalFormatting>
  <conditionalFormatting sqref="Q58 AF58">
    <cfRule type="cellIs" dxfId="1548" priority="27" operator="greaterThan">
      <formula>1</formula>
    </cfRule>
    <cfRule type="cellIs" dxfId="1547" priority="28" operator="lessThan">
      <formula>0.8</formula>
    </cfRule>
  </conditionalFormatting>
  <conditionalFormatting sqref="R58 AG58">
    <cfRule type="cellIs" dxfId="1546" priority="30" operator="lessThan">
      <formula>0.8</formula>
    </cfRule>
  </conditionalFormatting>
  <conditionalFormatting sqref="O68">
    <cfRule type="cellIs" dxfId="1545" priority="21" operator="greaterThan">
      <formula>0</formula>
    </cfRule>
  </conditionalFormatting>
  <conditionalFormatting sqref="P68">
    <cfRule type="cellIs" dxfId="1544" priority="24" operator="lessThan">
      <formula>0</formula>
    </cfRule>
  </conditionalFormatting>
  <conditionalFormatting sqref="Q68">
    <cfRule type="cellIs" dxfId="1543" priority="22" operator="greaterThan">
      <formula>1</formula>
    </cfRule>
    <cfRule type="cellIs" dxfId="1542" priority="23" operator="lessThan">
      <formula>0.8</formula>
    </cfRule>
  </conditionalFormatting>
  <conditionalFormatting sqref="R68">
    <cfRule type="cellIs" dxfId="1541" priority="25" operator="lessThan">
      <formula>0.8</formula>
    </cfRule>
  </conditionalFormatting>
  <conditionalFormatting sqref="R25 AG25">
    <cfRule type="cellIs" dxfId="1540" priority="20" operator="lessThan">
      <formula>0.8</formula>
    </cfRule>
  </conditionalFormatting>
  <conditionalFormatting sqref="AG25">
    <cfRule type="cellIs" dxfId="1539" priority="19" operator="lessThan">
      <formula>0.8</formula>
    </cfRule>
  </conditionalFormatting>
  <conditionalFormatting sqref="O57">
    <cfRule type="cellIs" dxfId="1538" priority="14" operator="greaterThan">
      <formula>0</formula>
    </cfRule>
  </conditionalFormatting>
  <conditionalFormatting sqref="P57 AE57">
    <cfRule type="cellIs" dxfId="1537" priority="17" operator="lessThan">
      <formula>0</formula>
    </cfRule>
  </conditionalFormatting>
  <conditionalFormatting sqref="Q57 AF57">
    <cfRule type="cellIs" dxfId="1536" priority="15" operator="greaterThan">
      <formula>1</formula>
    </cfRule>
    <cfRule type="cellIs" dxfId="1535" priority="16" operator="lessThan">
      <formula>0.8</formula>
    </cfRule>
  </conditionalFormatting>
  <conditionalFormatting sqref="R57 AG57">
    <cfRule type="cellIs" dxfId="1534" priority="18" operator="lessThan">
      <formula>0.8</formula>
    </cfRule>
  </conditionalFormatting>
  <conditionalFormatting sqref="P8">
    <cfRule type="cellIs" dxfId="1533" priority="13" operator="lessThan">
      <formula>0</formula>
    </cfRule>
  </conditionalFormatting>
  <conditionalFormatting sqref="P18">
    <cfRule type="cellIs" dxfId="1532" priority="12" operator="lessThan">
      <formula>0</formula>
    </cfRule>
  </conditionalFormatting>
  <conditionalFormatting sqref="P26">
    <cfRule type="cellIs" dxfId="1531" priority="11" operator="lessThan">
      <formula>0</formula>
    </cfRule>
  </conditionalFormatting>
  <conditionalFormatting sqref="P33">
    <cfRule type="cellIs" dxfId="1530" priority="10" operator="lessThan">
      <formula>0</formula>
    </cfRule>
  </conditionalFormatting>
  <conditionalFormatting sqref="P47">
    <cfRule type="cellIs" dxfId="1529" priority="9" operator="lessThan">
      <formula>0</formula>
    </cfRule>
  </conditionalFormatting>
  <conditionalFormatting sqref="P55">
    <cfRule type="cellIs" dxfId="1528" priority="8" operator="lessThan">
      <formula>0</formula>
    </cfRule>
  </conditionalFormatting>
  <conditionalFormatting sqref="P61">
    <cfRule type="cellIs" dxfId="1527" priority="7" operator="lessThan">
      <formula>0</formula>
    </cfRule>
  </conditionalFormatting>
  <conditionalFormatting sqref="P70">
    <cfRule type="cellIs" dxfId="1526" priority="6" operator="lessThan">
      <formula>0</formula>
    </cfRule>
  </conditionalFormatting>
  <conditionalFormatting sqref="O69">
    <cfRule type="cellIs" dxfId="1525" priority="1" operator="greaterThan">
      <formula>0</formula>
    </cfRule>
  </conditionalFormatting>
  <conditionalFormatting sqref="P69">
    <cfRule type="cellIs" dxfId="1524" priority="4" operator="lessThan">
      <formula>0</formula>
    </cfRule>
  </conditionalFormatting>
  <conditionalFormatting sqref="Q69">
    <cfRule type="cellIs" dxfId="1523" priority="2" operator="greaterThan">
      <formula>1</formula>
    </cfRule>
    <cfRule type="cellIs" dxfId="1522" priority="3" operator="lessThan">
      <formula>0.8</formula>
    </cfRule>
  </conditionalFormatting>
  <conditionalFormatting sqref="R69">
    <cfRule type="cellIs" dxfId="1521" priority="5" operator="lessThan">
      <formula>0.8</formula>
    </cfRule>
  </conditionalFormatting>
  <dataValidations count="1">
    <dataValidation type="list" allowBlank="1" showInputMessage="1" showErrorMessage="1" sqref="AB8 AA5:AB7 AB60 AB10:AB56 AA8:AA60 AA61:AB7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I6" sqref="I6:J6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2538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128</v>
      </c>
      <c r="C3" s="555" t="str">
        <f>TEXT('0526 4度C'!A2,"yyyy.mm.ddaaaa")</f>
        <v>2026.05.26星期二</v>
      </c>
      <c r="D3" s="556"/>
      <c r="E3" s="54" t="s">
        <v>2539</v>
      </c>
      <c r="F3" s="557">
        <f>'0526 4度C'!D1</f>
        <v>187049</v>
      </c>
      <c r="G3" s="558"/>
      <c r="H3" s="54" t="s">
        <v>2540</v>
      </c>
      <c r="I3" s="559">
        <f>'0526 4度C'!F1</f>
        <v>6415031.6199999992</v>
      </c>
      <c r="J3" s="560"/>
      <c r="K3" s="55"/>
      <c r="L3" s="56"/>
      <c r="M3" s="57"/>
      <c r="N3" s="57"/>
    </row>
    <row r="4" spans="2:17" ht="28.5" customHeight="1">
      <c r="B4" s="561" t="s">
        <v>2541</v>
      </c>
      <c r="C4" s="547" t="s">
        <v>2542</v>
      </c>
      <c r="D4" s="548"/>
      <c r="E4" s="564" t="s">
        <v>2543</v>
      </c>
      <c r="F4" s="565"/>
      <c r="G4" s="564" t="s">
        <v>2544</v>
      </c>
      <c r="H4" s="565"/>
      <c r="I4" s="564" t="s">
        <v>2545</v>
      </c>
      <c r="J4" s="565"/>
      <c r="K4" s="545" t="s">
        <v>2546</v>
      </c>
      <c r="L4" s="546"/>
      <c r="M4" s="546" t="s">
        <v>2547</v>
      </c>
      <c r="N4" s="546"/>
    </row>
    <row r="5" spans="2:17" ht="28.5" customHeight="1">
      <c r="B5" s="562"/>
      <c r="C5" s="547" t="s">
        <v>2548</v>
      </c>
      <c r="D5" s="548"/>
      <c r="E5" s="547" t="s">
        <v>2549</v>
      </c>
      <c r="F5" s="548"/>
      <c r="G5" s="549" t="s">
        <v>2550</v>
      </c>
      <c r="H5" s="550"/>
      <c r="I5" s="551" t="s">
        <v>2551</v>
      </c>
      <c r="J5" s="552"/>
      <c r="K5" s="58" t="s">
        <v>2552</v>
      </c>
      <c r="L5" s="59" t="s">
        <v>2553</v>
      </c>
      <c r="M5" s="58" t="s">
        <v>2552</v>
      </c>
      <c r="N5" s="59" t="s">
        <v>2554</v>
      </c>
    </row>
    <row r="6" spans="2:17" ht="28.5" customHeight="1">
      <c r="B6" s="562"/>
      <c r="C6" s="547" t="s">
        <v>145</v>
      </c>
      <c r="D6" s="548"/>
      <c r="E6" s="539">
        <f>AVERAGE(D13:M13)</f>
        <v>154.18678138489162</v>
      </c>
      <c r="F6" s="540">
        <f>AVERAGE(D31:O31,D13:J13)</f>
        <v>161.07774154002254</v>
      </c>
      <c r="G6" s="541">
        <f>AVERAGE(D13:J13)</f>
        <v>161.07774154002254</v>
      </c>
      <c r="H6" s="542"/>
      <c r="I6" s="541">
        <f>AVERAGE(K13:M13)</f>
        <v>138.10787435625272</v>
      </c>
      <c r="J6" s="542"/>
      <c r="K6" s="543">
        <f>'0526 4度C'!Y2</f>
        <v>0</v>
      </c>
      <c r="L6" s="528">
        <f>'0526 4度C'!Z2</f>
        <v>0</v>
      </c>
      <c r="M6" s="544">
        <f>'0526 4度C'!AC2</f>
        <v>62</v>
      </c>
      <c r="N6" s="528">
        <f>'0526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147.79477093752877</v>
      </c>
      <c r="F7" s="532">
        <f>AVERAGE(D32:O32,D14:J14)</f>
        <v>154.58491482722999</v>
      </c>
      <c r="G7" s="533">
        <f>AVERAGE(D14:J14)</f>
        <v>154.58491482722999</v>
      </c>
      <c r="H7" s="534"/>
      <c r="I7" s="533">
        <f>AVERAGE(K14:M14)</f>
        <v>131.95110186155924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0.95834129794282319</v>
      </c>
      <c r="F8" s="536">
        <f>AVERAGE(D15:J15,D33:O33)</f>
        <v>0.95959520843636859</v>
      </c>
      <c r="G8" s="537">
        <f>AVERAGE(D15:J15)</f>
        <v>0.95959520843636859</v>
      </c>
      <c r="H8" s="538"/>
      <c r="I8" s="537">
        <f>AVERAGE(K15:M15)</f>
        <v>0.95541550679121767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2555</v>
      </c>
      <c r="N9" s="57"/>
      <c r="O9" s="57"/>
      <c r="P9" s="57"/>
      <c r="Q9" s="57"/>
    </row>
    <row r="10" spans="2:17" ht="30" customHeight="1">
      <c r="B10" s="511" t="s">
        <v>2556</v>
      </c>
      <c r="C10" s="512"/>
      <c r="D10" s="513" t="s">
        <v>2557</v>
      </c>
      <c r="E10" s="514"/>
      <c r="F10" s="514"/>
      <c r="G10" s="514"/>
      <c r="H10" s="514"/>
      <c r="I10" s="514"/>
      <c r="J10" s="515"/>
      <c r="K10" s="516" t="s">
        <v>2558</v>
      </c>
      <c r="L10" s="517"/>
      <c r="M10" s="518"/>
      <c r="P10" s="63"/>
      <c r="Q10" s="63"/>
    </row>
    <row r="11" spans="2:17" ht="17.25" customHeight="1">
      <c r="B11" s="519" t="s">
        <v>2559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2560</v>
      </c>
      <c r="C13" s="70" t="s">
        <v>2561</v>
      </c>
      <c r="D13" s="71">
        <f>SUMIFS('0526 4度C'!$K:$K,'0526 4度C'!$A:$A,"新豐6線",'0526 4度C'!$B:$B,"平均")</f>
        <v>127.65957446808511</v>
      </c>
      <c r="E13" s="72">
        <f>SUMIFS('0526 4度C'!$K:$K,'0526 4度C'!$A:$A,"新豐2線",'0526 4度C'!$B:$B,"平均")</f>
        <v>86.956521739130437</v>
      </c>
      <c r="F13" s="73">
        <f>SUMIFS('0526 4度C'!$K:$K,'0526 4度C'!$A:$A,"新豐5線",'0526 4度C'!$B:$B,"平均")</f>
        <v>107.14285714285714</v>
      </c>
      <c r="G13" s="73">
        <f>SUMIFS('0526 4度C'!$K:$K,'0526 4度C'!$A:$A,"新豐7線",'0526 4度C'!$B:$B,"平均")</f>
        <v>127.11864406779661</v>
      </c>
      <c r="H13" s="73">
        <f>SUMIFS('0526 4度C'!$K:$K,'0526 4度C'!$A:$A,"新豐3線",'0526 4度C'!$B:$B,"平均")</f>
        <v>255.81395348837211</v>
      </c>
      <c r="I13" s="73">
        <f>SUMIFS('0526 4度C'!$K:$K,'0526 4度C'!$A:$A,"新豐1線",'0526 4度C'!$B:$B,"平均")</f>
        <v>103.70370370370371</v>
      </c>
      <c r="J13" s="74">
        <f>SUMIFS('0526 4度C'!$K:$K,'0526 4度C'!$A:$A,"新豐10線",'0526 4度C'!$B:$B,"平均")</f>
        <v>319.14893617021278</v>
      </c>
      <c r="K13" s="75">
        <f>SUMIFS('0526 4度C'!$K:$K,'0526 4度C'!$A:$A,"新豐8線",'0526 4度C'!$B:$B,"平均")</f>
        <v>137.70491803278691</v>
      </c>
      <c r="L13" s="76">
        <f>SUMIFS('0526 4度C'!$K:$K,'0526 4度C'!$A:$A,"新豐9線",'0526 4度C'!$B:$B,"平均")</f>
        <v>126.61870503597122</v>
      </c>
      <c r="M13" s="74">
        <f>SUMIFS('0526 4度C'!$K:$K,'0526 4度C'!$A:$A,"新豐4線",'0526 4度C'!$B:$B,"平均")</f>
        <v>150</v>
      </c>
    </row>
    <row r="14" spans="2:17" ht="39.6" customHeight="1">
      <c r="B14" s="524"/>
      <c r="C14" s="77" t="s">
        <v>2562</v>
      </c>
      <c r="D14" s="78">
        <f>SUMIFS('0526 4度C'!$N:$N,'0526 4度C'!$A:$A,"新豐6線",'0526 4度C'!$B:$B,"平均")</f>
        <v>122.48995720457017</v>
      </c>
      <c r="E14" s="79">
        <f>SUMIFS('0526 4度C'!$N:$N,'0526 4度C'!$A:$A,"新豐2線",'0526 4度C'!$B:$B,"平均")</f>
        <v>82.980916579929414</v>
      </c>
      <c r="F14" s="79">
        <f>SUMIFS('0526 4度C'!$N:$N,'0526 4度C'!$A:$A,"新豐5線",'0526 4度C'!$B:$B,"平均")</f>
        <v>103.0722783593354</v>
      </c>
      <c r="G14" s="79">
        <f>SUMIFS('0526 4度C'!$N:$N,'0526 4度C'!$A:$A,"新豐7線",'0526 4度C'!$B:$B,"平均")</f>
        <v>121.77038173754123</v>
      </c>
      <c r="H14" s="79">
        <f>SUMIFS('0526 4度C'!$N:$N,'0526 4度C'!$A:$A,"新豐3線",'0526 4度C'!$B:$B,"平均")</f>
        <v>244.66296767009544</v>
      </c>
      <c r="I14" s="79">
        <f>SUMIFS('0526 4度C'!$N:$N,'0526 4度C'!$A:$A,"新豐1線",'0526 4度C'!$B:$B,"平均")</f>
        <v>100.06883174993968</v>
      </c>
      <c r="J14" s="80">
        <f>SUMIFS('0526 4度C'!$N:$N,'0526 4度C'!$A:$A,"新豐10線",'0526 4度C'!$B:$B,"平均")</f>
        <v>307.04907048919858</v>
      </c>
      <c r="K14" s="81">
        <f>SUMIFS('0526 4度C'!$N:$N,'0526 4度C'!$A:$A,"新豐8線",'0526 4度C'!$B:$B,"平均")</f>
        <v>131.45943987196722</v>
      </c>
      <c r="L14" s="82">
        <f>SUMIFS('0526 4度C'!$N:$N,'0526 4度C'!$A:$A,"新豐9線",'0526 4度C'!$B:$B,"平均")</f>
        <v>121.01338944532596</v>
      </c>
      <c r="M14" s="80">
        <f>SUMIFS('0526 4度C'!$N:$N,'0526 4度C'!$A:$A,"新豐4線",'0526 4度C'!$B:$B,"平均")</f>
        <v>143.38047626738458</v>
      </c>
    </row>
    <row r="15" spans="2:17" ht="40.15" customHeight="1">
      <c r="B15" s="525"/>
      <c r="C15" s="83" t="s">
        <v>2563</v>
      </c>
      <c r="D15" s="84">
        <f t="shared" ref="D15:M15" si="0">D14/D13</f>
        <v>0.95950466476913299</v>
      </c>
      <c r="E15" s="85">
        <f t="shared" si="0"/>
        <v>0.95428054066918822</v>
      </c>
      <c r="F15" s="85">
        <f t="shared" si="0"/>
        <v>0.96200793135379714</v>
      </c>
      <c r="G15" s="85">
        <f t="shared" si="0"/>
        <v>0.95792700300199096</v>
      </c>
      <c r="H15" s="85">
        <f t="shared" si="0"/>
        <v>0.95640978271037302</v>
      </c>
      <c r="I15" s="85">
        <f t="shared" si="0"/>
        <v>0.96494944901727542</v>
      </c>
      <c r="J15" s="86">
        <f t="shared" si="0"/>
        <v>0.96208708753282224</v>
      </c>
      <c r="K15" s="84">
        <f t="shared" si="0"/>
        <v>0.95464593240357132</v>
      </c>
      <c r="L15" s="85">
        <f t="shared" si="0"/>
        <v>0.95573074618751752</v>
      </c>
      <c r="M15" s="86">
        <f t="shared" si="0"/>
        <v>0.95586984178256384</v>
      </c>
    </row>
    <row r="16" spans="2:17" ht="17.25" customHeight="1">
      <c r="B16" s="526" t="s">
        <v>2564</v>
      </c>
      <c r="C16" s="87" t="s">
        <v>2565</v>
      </c>
      <c r="D16" s="88">
        <f>VLOOKUP("新豐6線",'0526 4度C'!$A:$T,19,0)</f>
        <v>0.70833333333333337</v>
      </c>
      <c r="E16" s="89">
        <f>VLOOKUP("新豐2線",'0526 4度C'!$A:$T,19,0)</f>
        <v>8.3333333333333329E-2</v>
      </c>
      <c r="F16" s="89">
        <f>VLOOKUP("新豐5線",'0526 4度C'!$A:$T,19,0)</f>
        <v>0.20833333333333334</v>
      </c>
      <c r="G16" s="89">
        <f>VLOOKUP("新豐7線",'0526 4度C'!$A:$T,19,0)</f>
        <v>0.20833333333333334</v>
      </c>
      <c r="H16" s="89">
        <f>VLOOKUP("新豐3線",'0526 4度C'!$A:$T,19,0)</f>
        <v>8.3333333333333329E-2</v>
      </c>
      <c r="I16" s="89">
        <f>VLOOKUP("新豐1線",'0526 4度C'!$A:$T,19,0)</f>
        <v>0.20833333333333334</v>
      </c>
      <c r="J16" s="90">
        <f>VLOOKUP("新豐10線",'0526 4度C'!$A:$T,19,0)</f>
        <v>0.20833333333333334</v>
      </c>
      <c r="K16" s="91">
        <f>VLOOKUP("新豐8線",'0526 4度C'!$A:$T,19,0)</f>
        <v>8.3333333333333329E-2</v>
      </c>
      <c r="L16" s="92">
        <f>VLOOKUP("新豐9線",'0526 4度C'!$A:$T,19,0)</f>
        <v>8.3333333333333329E-2</v>
      </c>
      <c r="M16" s="93">
        <f>VLOOKUP("新豐4線",'0526 4度C'!$A:$T,19,0)</f>
        <v>8.3333333333333329E-2</v>
      </c>
    </row>
    <row r="17" spans="2:13" ht="17.25" customHeight="1">
      <c r="B17" s="527"/>
      <c r="C17" s="87" t="s">
        <v>2566</v>
      </c>
      <c r="D17" s="91">
        <f>LOOKUP(2,1/(('0526 4度C'!$A:$A="新豐6線")*('0526 4度C'!$T:$T&lt;&gt;"")),'0526 4度C'!$T:$T)</f>
        <v>0.94374999999999998</v>
      </c>
      <c r="E17" s="89">
        <f>LOOKUP(2,1/(('0526 4度C'!$A:$A="新豐2線")*('0526 4度C'!$T:$T&lt;&gt;"")),'0526 4度C'!$T:$T)</f>
        <v>0.62361111111111112</v>
      </c>
      <c r="F17" s="89">
        <f>LOOKUP(2,1/(('0526 4度C'!$A:$A="新豐5線")*('0526 4度C'!$T:$T&lt;&gt;"")),'0526 4度C'!$T:$T)</f>
        <v>0.90694444444444433</v>
      </c>
      <c r="G17" s="89">
        <f>LOOKUP(2,1/(('0526 4度C'!$A:$A="新豐7線")*('0526 4度C'!$T:$T&lt;&gt;"")),'0526 4度C'!$T:$T)</f>
        <v>0.89999999999999991</v>
      </c>
      <c r="H17" s="89">
        <f>LOOKUP(2,1/(('0526 4度C'!$A:$A="新豐3線")*('0526 4度C'!$T:$T&lt;&gt;"")),'0526 4度C'!$T:$T)</f>
        <v>0.44930555555555557</v>
      </c>
      <c r="I17" s="89">
        <f>LOOKUP(2,1/(('0526 4度C'!$A:$A="新豐1線")*('0526 4度C'!$T:$T&lt;&gt;"")),'0526 4度C'!$T:$T)</f>
        <v>0.77222222222222225</v>
      </c>
      <c r="J17" s="90">
        <f>LOOKUP(2,1/(('0526 4度C'!$A:$A="新豐10線")*('0526 4度C'!$T:$T&lt;&gt;"")),'0526 4度C'!$T:$T)</f>
        <v>0.4194444444444444</v>
      </c>
      <c r="K17" s="88">
        <f>LOOKUP(2,1/(('0526 4度C'!$A:$A="新豐8線")*('0526 4度C'!$T:$T&lt;&gt;"")),'0526 4度C'!$T:$T)</f>
        <v>0.71527777777777757</v>
      </c>
      <c r="L17" s="89">
        <f>LOOKUP(2,1/(('0526 4度C'!$A:$A="新豐9線")*('0526 4度C'!$T:$T&lt;&gt;"")),'0526 4度C'!$T:$T)</f>
        <v>0.72569444444444442</v>
      </c>
      <c r="M17" s="90">
        <f>LOOKUP(2,1/(('0526 4度C'!$A:$A="新豐4線")*('0526 4度C'!$T:$T&lt;&gt;"")),'0526 4度C'!$T:$T)</f>
        <v>0.69374999999999976</v>
      </c>
    </row>
    <row r="18" spans="2:13" ht="17.25" customHeight="1">
      <c r="B18" s="505" t="s">
        <v>2567</v>
      </c>
      <c r="C18" s="94" t="s">
        <v>2568</v>
      </c>
      <c r="D18" s="95">
        <f>SUMIFS('0526 4度C'!$Y:$Y,'0526 4度C'!$A:$A,"新豐6線",'0526 4度C'!$B:$B,"平均")</f>
        <v>0</v>
      </c>
      <c r="E18" s="96">
        <f>SUMIFS('0526 4度C'!$Y:$Y,'0526 4度C'!$A:$A,"新豐2線",'0526 4度C'!$B:$B,"平均")</f>
        <v>0</v>
      </c>
      <c r="F18" s="96">
        <f>SUMIFS('0526 4度C'!$Y:$Y,'0526 4度C'!$A:$A,"新豐5線",'0526 4度C'!$B:$B,"平均")</f>
        <v>0</v>
      </c>
      <c r="G18" s="96">
        <f>SUMIFS('0526 4度C'!$Y:$Y,'0526 4度C'!$A:$A,"新豐7線",'0526 4度C'!$B:$B,"平均")</f>
        <v>0</v>
      </c>
      <c r="H18" s="96">
        <f>SUMIFS('0526 4度C'!$Y:$Y,'0526 4度C'!$A:$A,"新豐3線",'0526 4度C'!$B:$B,"平均")</f>
        <v>0</v>
      </c>
      <c r="I18" s="96">
        <f>SUMIFS('0526 4度C'!$Y:$Y,'0526 4度C'!$A:$A,"新豐1線",'0526 4度C'!$B:$B,"平均")</f>
        <v>0</v>
      </c>
      <c r="J18" s="97">
        <f>SUMIFS('0526 4度C'!$Y:$Y,'0526 4度C'!$A:$A,"新豐10線",'0526 4度C'!$B:$B,"平均")</f>
        <v>0</v>
      </c>
      <c r="K18" s="98">
        <f>SUMIFS('0526 4度C'!$Y:$Y,'0526 4度C'!$A:$A,"新豐8線",'0526 4度C'!$B:$B,"平均")</f>
        <v>0</v>
      </c>
      <c r="L18" s="96">
        <f>SUMIFS('0526 4度C'!$Y:$Y,'0526 4度C'!$A:$A,"新豐9線",'0526 4度C'!$B:$B,"平均")</f>
        <v>0</v>
      </c>
      <c r="M18" s="97">
        <f>SUMIFS('0526 4度C'!$Y:$Y,'0526 4度C'!$A:$A,"新豐4線",'0526 4度C'!$B:$B,"平均")</f>
        <v>0</v>
      </c>
    </row>
    <row r="19" spans="2:13" ht="17.25" customHeight="1">
      <c r="B19" s="506"/>
      <c r="C19" s="94" t="s">
        <v>2569</v>
      </c>
      <c r="D19" s="95">
        <f>SUMIFS('0526 4度C'!$Z:$Z,'0526 4度C'!$A:$A,"新豐6線",'0526 4度C'!$B:$B,"平均")</f>
        <v>0</v>
      </c>
      <c r="E19" s="96">
        <f>SUMIFS('0526 4度C'!$Z:$Z,'0526 4度C'!$A:$A,"新豐2線",'0526 4度C'!$B:$B,"平均")</f>
        <v>0</v>
      </c>
      <c r="F19" s="96">
        <f>SUMIFS('0526 4度C'!$Z:$Z,'0526 4度C'!$A:$A,"新豐5線",'0526 4度C'!$B:$B,"平均")</f>
        <v>0</v>
      </c>
      <c r="G19" s="96">
        <f>SUMIFS('0526 4度C'!$Z:$Z,'0526 4度C'!$A:$A,"新豐7線",'0526 4度C'!$B:$B,"平均")</f>
        <v>0</v>
      </c>
      <c r="H19" s="96">
        <f>SUMIFS('0526 4度C'!$Z:$Z,'0526 4度C'!$A:$A,"新豐3線",'0526 4度C'!$B:$B,"平均")</f>
        <v>0</v>
      </c>
      <c r="I19" s="96">
        <f>SUMIFS('0526 4度C'!$Z:$Z,'0526 4度C'!$A:$A,"新豐1線",'0526 4度C'!$B:$B,"平均")</f>
        <v>0</v>
      </c>
      <c r="J19" s="97">
        <f>SUMIFS('0526 4度C'!$Z:$Z,'0526 4度C'!$A:$A,"新豐10線",'0526 4度C'!$B:$B,"平均")</f>
        <v>0</v>
      </c>
      <c r="K19" s="98">
        <f>SUMIFS('0526 4度C'!$Z:$Z,'0526 4度C'!$A:$A,"新豐8線",'0526 4度C'!$B:$B,"平均")</f>
        <v>0</v>
      </c>
      <c r="L19" s="96">
        <f>SUMIFS('0526 4度C'!$Z:$Z,'0526 4度C'!$A:$A,"新豐9線",'0526 4度C'!$B:$B,"平均")</f>
        <v>0</v>
      </c>
      <c r="M19" s="97">
        <f>SUMIFS('0526 4度C'!$Z:$Z,'0526 4度C'!$A:$A,"新豐4線",'0526 4度C'!$B:$B,"平均")</f>
        <v>0</v>
      </c>
    </row>
    <row r="20" spans="2:13" ht="17.25" customHeight="1">
      <c r="B20" s="505" t="s">
        <v>2570</v>
      </c>
      <c r="C20" s="94" t="s">
        <v>2568</v>
      </c>
      <c r="D20" s="95">
        <f>SUMIFS('0526 4度C'!$AC:$AC,'0526 4度C'!$A:$A,"新豐6線",'0526 4度C'!$B:$B,"平均")</f>
        <v>6</v>
      </c>
      <c r="E20" s="96">
        <f>SUMIFS('0526 4度C'!$AC:$AC,'0526 4度C'!$A:$A,"新豐2線",'0526 4度C'!$B:$B,"平均")</f>
        <v>4</v>
      </c>
      <c r="F20" s="96">
        <f>SUMIFS('0526 4度C'!$AC:$AC,'0526 4度C'!$A:$A,"新豐5線",'0526 4度C'!$B:$B,"平均")</f>
        <v>5</v>
      </c>
      <c r="G20" s="96">
        <f>SUMIFS('0526 4度C'!$AC:$AC,'0526 4度C'!$A:$A,"新豐7線",'0526 4度C'!$B:$B,"平均")</f>
        <v>8</v>
      </c>
      <c r="H20" s="96">
        <f>SUMIFS('0526 4度C'!$AC:$AC,'0526 4度C'!$A:$A,"新豐3線",'0526 4度C'!$B:$B,"平均")</f>
        <v>4</v>
      </c>
      <c r="I20" s="96">
        <f>SUMIFS('0526 4度C'!$AC:$AC,'0526 4度C'!$A:$A,"新豐1線",'0526 4度C'!$B:$B,"平均")</f>
        <v>7</v>
      </c>
      <c r="J20" s="97">
        <f>SUMIFS('0526 4度C'!$AC:$AC,'0526 4度C'!$A:$A,"新豐10線",'0526 4度C'!$B:$B,"平均")</f>
        <v>5</v>
      </c>
      <c r="K20" s="98">
        <f>SUMIFS('0526 4度C'!$AC:$AC,'0526 4度C'!$A:$A,"新豐8線",'0526 4度C'!$B:$B,"平均")</f>
        <v>7</v>
      </c>
      <c r="L20" s="96">
        <f>SUMIFS('0526 4度C'!$AC:$AC,'0526 4度C'!$A:$A,"新豐9線",'0526 4度C'!$B:$B,"平均")</f>
        <v>8</v>
      </c>
      <c r="M20" s="97">
        <f>SUMIFS('0526 4度C'!$AC:$AC,'0526 4度C'!$A:$A,"新豐4線",'0526 4度C'!$B:$B,"平均")</f>
        <v>8</v>
      </c>
    </row>
    <row r="21" spans="2:13" ht="17.25" customHeight="1">
      <c r="B21" s="506"/>
      <c r="C21" s="94" t="s">
        <v>2571</v>
      </c>
      <c r="D21" s="95">
        <f>SUMIFS('0526 4度C'!$AD:$AD,'0526 4度C'!$A:$A,"新豐6線",'0526 4度C'!$B:$B,"平均")</f>
        <v>0</v>
      </c>
      <c r="E21" s="96">
        <f>SUMIFS('0526 4度C'!$AD:$AD,'0526 4度C'!$A:$A,"新豐2線",'0526 4度C'!$B:$B,"平均")</f>
        <v>0</v>
      </c>
      <c r="F21" s="96">
        <f>SUMIFS('0526 4度C'!$AD:$AD,'0526 4度C'!$A:$A,"新豐5線",'0526 4度C'!$B:$B,"平均")</f>
        <v>0</v>
      </c>
      <c r="G21" s="96">
        <f>SUMIFS('0526 4度C'!$AD:$AD,'0526 4度C'!$A:$A,"新豐7線",'0526 4度C'!$B:$B,"平均")</f>
        <v>0</v>
      </c>
      <c r="H21" s="96">
        <f>SUMIFS('0526 4度C'!$AD:$AD,'0526 4度C'!$A:$A,"新豐3線",'0526 4度C'!$B:$B,"平均")</f>
        <v>0</v>
      </c>
      <c r="I21" s="96">
        <f>SUMIFS('0526 4度C'!$AD:$AD,'0526 4度C'!$A:$A,"新豐1線",'0526 4度C'!$B:$B,"平均")</f>
        <v>0</v>
      </c>
      <c r="J21" s="97">
        <f>SUMIFS('0526 4度C'!$AD:$AD,'0526 4度C'!$A:$A,"新豐10線",'0526 4度C'!$B:$B,"平均")</f>
        <v>0</v>
      </c>
      <c r="K21" s="98">
        <f>SUMIFS('0526 4度C'!$AD:$AD,'0526 4度C'!$A:$A,"新豐8線",'0526 4度C'!$B:$B,"平均")</f>
        <v>0</v>
      </c>
      <c r="L21" s="96">
        <f>SUMIFS('0526 4度C'!$AD:$AD,'0526 4度C'!$A:$A,"新豐9線",'0526 4度C'!$B:$B,"平均")</f>
        <v>0</v>
      </c>
      <c r="M21" s="97">
        <f>SUMIFS('0526 4度C'!$AD:$AD,'0526 4度C'!$A:$A,"新豐4線",'0526 4度C'!$B:$B,"平均")</f>
        <v>0</v>
      </c>
    </row>
    <row r="22" spans="2:13" ht="17.25" customHeight="1">
      <c r="B22" s="507" t="s">
        <v>2572</v>
      </c>
      <c r="C22" s="508"/>
      <c r="D22" s="99">
        <f>SUMIFS('0526 4度C'!$I:$I,'0526 4度C'!$A:$A,"新豐6線",'0526 4度C'!$B:$B,"平均")</f>
        <v>15.666666666666666</v>
      </c>
      <c r="E22" s="100">
        <f>SUMIFS('0526 4度C'!$I:$I,'0526 4度C'!$A:$A,"新豐2線",'0526 4度C'!$B:$B,"平均")</f>
        <v>17.25</v>
      </c>
      <c r="F22" s="100">
        <f>SUMIFS('0526 4度C'!$I:$I,'0526 4度C'!$A:$A,"新豐5線",'0526 4度C'!$B:$B,"平均")</f>
        <v>16.8</v>
      </c>
      <c r="G22" s="100">
        <f>SUMIFS('0526 4度C'!$I:$I,'0526 4度C'!$A:$A,"新豐7線",'0526 4度C'!$B:$B,"平均")</f>
        <v>14.75</v>
      </c>
      <c r="H22" s="100">
        <f>SUMIFS('0526 4度C'!$I:$I,'0526 4度C'!$A:$A,"新豐3線",'0526 4度C'!$B:$B,"平均")</f>
        <v>10.75</v>
      </c>
      <c r="I22" s="100">
        <f>SUMIFS('0526 4度C'!$I:$I,'0526 4度C'!$A:$A,"新豐1線",'0526 4度C'!$B:$B,"平均")</f>
        <v>19.285714285714285</v>
      </c>
      <c r="J22" s="101">
        <f>SUMIFS('0526 4度C'!$I:$I,'0526 4度C'!$A:$A,"新豐10線",'0526 4度C'!$B:$B,"平均")</f>
        <v>9.4</v>
      </c>
      <c r="K22" s="99">
        <f>SUMIFS('0526 4度C'!$I:$I,'0526 4度C'!$A:$A,"新豐8線",'0526 4度C'!$B:$B,"平均")</f>
        <v>17.428571428571427</v>
      </c>
      <c r="L22" s="100">
        <f>SUMIFS('0526 4度C'!$I:$I,'0526 4度C'!$A:$A,"新豐9線",'0526 4度C'!$B:$B,"平均")</f>
        <v>17.375</v>
      </c>
      <c r="M22" s="101">
        <f>SUMIFS('0526 4度C'!$I:$I,'0526 4度C'!$A:$A,"新豐4線",'0526 4度C'!$B:$B,"平均")</f>
        <v>16</v>
      </c>
    </row>
    <row r="23" spans="2:13" ht="17.25" customHeight="1">
      <c r="B23" s="507" t="s">
        <v>2573</v>
      </c>
      <c r="C23" s="508"/>
      <c r="D23" s="102" t="s">
        <v>177</v>
      </c>
      <c r="E23" s="103" t="s">
        <v>178</v>
      </c>
      <c r="F23" s="103" t="s">
        <v>2574</v>
      </c>
      <c r="G23" s="103" t="s">
        <v>2574</v>
      </c>
      <c r="H23" s="103" t="s">
        <v>180</v>
      </c>
      <c r="I23" s="103" t="s">
        <v>177</v>
      </c>
      <c r="J23" s="104" t="s">
        <v>180</v>
      </c>
      <c r="K23" s="102" t="s">
        <v>2575</v>
      </c>
      <c r="L23" s="103" t="s">
        <v>2575</v>
      </c>
      <c r="M23" s="104" t="s">
        <v>2575</v>
      </c>
    </row>
    <row r="24" spans="2:13" ht="17.25" customHeight="1">
      <c r="B24" s="507" t="s">
        <v>2576</v>
      </c>
      <c r="C24" s="508"/>
      <c r="D24" s="102"/>
      <c r="E24" s="103"/>
      <c r="F24" s="103" t="s">
        <v>2577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2578</v>
      </c>
      <c r="C25" s="510"/>
      <c r="D25" s="105"/>
      <c r="E25" s="106" t="s">
        <v>2579</v>
      </c>
      <c r="F25" s="503" t="s">
        <v>2580</v>
      </c>
      <c r="G25" s="504"/>
      <c r="H25" s="106" t="s">
        <v>2581</v>
      </c>
      <c r="I25" s="106" t="s">
        <v>2582</v>
      </c>
      <c r="J25" s="107" t="s">
        <v>2583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52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7"/>
  <sheetViews>
    <sheetView topLeftCell="E1" zoomScale="80" zoomScaleNormal="80" workbookViewId="0">
      <pane ySplit="4" topLeftCell="A5" activePane="bottomLeft" state="frozen"/>
      <selection activeCell="I6" sqref="I6:J6"/>
      <selection pane="bottomLeft" activeCell="U15" sqref="U1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2584</v>
      </c>
      <c r="B1" s="1"/>
      <c r="C1" s="2" t="s">
        <v>2585</v>
      </c>
      <c r="D1" s="3">
        <f>SUM(F5:F76)</f>
        <v>187049</v>
      </c>
      <c r="E1" s="426" t="s">
        <v>2586</v>
      </c>
      <c r="F1" s="1">
        <f>SUM(G5:G76)</f>
        <v>6415031.6199999992</v>
      </c>
      <c r="G1" s="1" t="s">
        <v>2587</v>
      </c>
      <c r="H1" s="5">
        <f>L11+L16+L53+L61+L22+L67+L39+L48+L31+L76</f>
        <v>154.7059523809524</v>
      </c>
      <c r="I1" s="617" t="s">
        <v>2588</v>
      </c>
      <c r="J1" s="617"/>
      <c r="K1" s="617"/>
      <c r="L1" s="617" t="s">
        <v>2589</v>
      </c>
      <c r="M1" s="617"/>
      <c r="N1" s="617"/>
      <c r="O1" s="617" t="s">
        <v>2590</v>
      </c>
      <c r="P1" s="617"/>
      <c r="Q1" s="617"/>
      <c r="R1" s="617"/>
      <c r="S1" s="617" t="s">
        <v>2591</v>
      </c>
      <c r="T1" s="617"/>
      <c r="U1" s="617"/>
      <c r="V1" s="617"/>
      <c r="W1" s="617"/>
      <c r="X1" s="617"/>
      <c r="Y1" s="6" t="s">
        <v>2592</v>
      </c>
      <c r="Z1" s="7" t="s">
        <v>2593</v>
      </c>
      <c r="AA1" s="618" t="s">
        <v>2594</v>
      </c>
      <c r="AB1" s="618"/>
      <c r="AC1" s="121" t="s">
        <v>2592</v>
      </c>
      <c r="AD1" s="7" t="s">
        <v>2595</v>
      </c>
      <c r="AE1" s="617" t="s">
        <v>2596</v>
      </c>
      <c r="AF1" s="619"/>
      <c r="AG1" s="619"/>
    </row>
    <row r="2" spans="1:33" ht="26.25" customHeight="1">
      <c r="A2" s="37">
        <v>46168</v>
      </c>
      <c r="B2" s="38" t="s">
        <v>527</v>
      </c>
      <c r="C2" s="2" t="s">
        <v>2560</v>
      </c>
      <c r="D2" s="10">
        <f>AVERAGE(N11,N16,N53,N61,N22,N67,N31,N39,N48,N76)</f>
        <v>147.79477093752877</v>
      </c>
      <c r="E2" s="11" t="s">
        <v>14</v>
      </c>
      <c r="F2" s="12">
        <f>F1/D1</f>
        <v>34.295995273965644</v>
      </c>
      <c r="G2" s="1" t="s">
        <v>2597</v>
      </c>
      <c r="H2" s="431">
        <f>COUNT(H5:H76)</f>
        <v>14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SUM(Y11+Y16+Y22+Y31+Y39+Y48+Y53+Y61+Y67+Y76)</f>
        <v>0</v>
      </c>
      <c r="Z2" s="14">
        <f>SUM(Z11+Z16+Z22+Z31+Z39+Z48+Z53+Z61+Z67+Z76)</f>
        <v>0</v>
      </c>
      <c r="AA2" s="618"/>
      <c r="AB2" s="618"/>
      <c r="AC2" s="122">
        <v>62</v>
      </c>
      <c r="AD2" s="14">
        <f>SUM(AD11+AD16+AD22+AD31+AD39+AD48+AD53+AD61+AD67+AD76)</f>
        <v>0</v>
      </c>
      <c r="AE2" s="619"/>
      <c r="AF2" s="619"/>
      <c r="AG2" s="619"/>
    </row>
    <row r="3" spans="1:33" ht="40.5" customHeight="1">
      <c r="A3" s="575" t="s">
        <v>2598</v>
      </c>
      <c r="B3" s="575" t="s">
        <v>2599</v>
      </c>
      <c r="C3" s="575" t="s">
        <v>2600</v>
      </c>
      <c r="D3" s="575"/>
      <c r="E3" s="615" t="s">
        <v>2601</v>
      </c>
      <c r="F3" s="575" t="s">
        <v>2602</v>
      </c>
      <c r="G3" s="615" t="s">
        <v>2603</v>
      </c>
      <c r="H3" s="608" t="s">
        <v>2604</v>
      </c>
      <c r="I3" s="606" t="s">
        <v>2605</v>
      </c>
      <c r="J3" s="603" t="s">
        <v>2606</v>
      </c>
      <c r="K3" s="613" t="s">
        <v>2560</v>
      </c>
      <c r="L3" s="606" t="s">
        <v>2605</v>
      </c>
      <c r="M3" s="603" t="s">
        <v>2606</v>
      </c>
      <c r="N3" s="613" t="s">
        <v>2560</v>
      </c>
      <c r="O3" s="606" t="s">
        <v>2605</v>
      </c>
      <c r="P3" s="613" t="s">
        <v>2560</v>
      </c>
      <c r="Q3" s="604" t="s">
        <v>2607</v>
      </c>
      <c r="R3" s="582" t="s">
        <v>2608</v>
      </c>
      <c r="S3" s="614" t="s">
        <v>28</v>
      </c>
      <c r="T3" s="614"/>
      <c r="U3" s="608" t="s">
        <v>29</v>
      </c>
      <c r="V3" s="608" t="s">
        <v>2609</v>
      </c>
      <c r="W3" s="575" t="s">
        <v>2610</v>
      </c>
      <c r="X3" s="575"/>
      <c r="Y3" s="609" t="s">
        <v>2611</v>
      </c>
      <c r="Z3" s="572"/>
      <c r="AA3" s="610" t="s">
        <v>2612</v>
      </c>
      <c r="AB3" s="611"/>
      <c r="AC3" s="609" t="s">
        <v>2613</v>
      </c>
      <c r="AD3" s="572"/>
      <c r="AE3" s="603" t="s">
        <v>2606</v>
      </c>
      <c r="AF3" s="604" t="s">
        <v>2614</v>
      </c>
      <c r="AG3" s="582" t="s">
        <v>2608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430" t="s">
        <v>36</v>
      </c>
      <c r="T4" s="430" t="s">
        <v>37</v>
      </c>
      <c r="U4" s="608"/>
      <c r="V4" s="608"/>
      <c r="W4" s="426" t="s">
        <v>2615</v>
      </c>
      <c r="X4" s="426" t="s">
        <v>2616</v>
      </c>
      <c r="Y4" s="424" t="s">
        <v>2617</v>
      </c>
      <c r="Z4" s="424" t="s">
        <v>2618</v>
      </c>
      <c r="AA4" s="612"/>
      <c r="AB4" s="611"/>
      <c r="AC4" s="424" t="s">
        <v>2619</v>
      </c>
      <c r="AD4" s="424" t="s">
        <v>2620</v>
      </c>
      <c r="AE4" s="603"/>
      <c r="AF4" s="604"/>
      <c r="AG4" s="582"/>
    </row>
    <row r="5" spans="1:33">
      <c r="A5" s="605" t="s">
        <v>2621</v>
      </c>
      <c r="B5" s="39" t="s">
        <v>74</v>
      </c>
      <c r="C5" s="607" t="s">
        <v>75</v>
      </c>
      <c r="D5" s="607"/>
      <c r="E5" s="39">
        <v>50.67</v>
      </c>
      <c r="F5" s="430">
        <v>1622</v>
      </c>
      <c r="G5" s="426">
        <f t="shared" ref="G5:G10" si="0">E5*F5</f>
        <v>82186.740000000005</v>
      </c>
      <c r="H5" s="48" t="s">
        <v>126</v>
      </c>
      <c r="I5" s="428">
        <v>17</v>
      </c>
      <c r="J5" s="43">
        <v>2000</v>
      </c>
      <c r="K5" s="18">
        <f t="shared" ref="K5:K68" si="1">J5/I5</f>
        <v>117.64705882352941</v>
      </c>
      <c r="L5" s="428">
        <v>17</v>
      </c>
      <c r="M5" s="19">
        <f t="shared" ref="M5:M10" si="2">F5/V5*60</f>
        <v>1908.235294117648</v>
      </c>
      <c r="N5" s="18">
        <f t="shared" ref="N5:N68" si="3">M5/L5</f>
        <v>112.24913494809694</v>
      </c>
      <c r="O5" s="20">
        <f t="shared" ref="O5:O68" si="4">L5-I5</f>
        <v>0</v>
      </c>
      <c r="P5" s="21">
        <f t="shared" ref="P5:P68" si="5">N5-K5</f>
        <v>-5.3979238754324683</v>
      </c>
      <c r="Q5" s="425">
        <f t="shared" ref="Q5:Q68" si="6">N5/K5</f>
        <v>0.95411764705882407</v>
      </c>
      <c r="R5" s="573">
        <f>Q11</f>
        <v>0.95950466476913299</v>
      </c>
      <c r="S5" s="49">
        <v>0.70833333333333337</v>
      </c>
      <c r="T5" s="49">
        <v>0.74375000000000002</v>
      </c>
      <c r="U5" s="426"/>
      <c r="V5" s="429">
        <f t="shared" ref="V5:V10" si="7">(T5-S5)*24*60</f>
        <v>50.999999999999979</v>
      </c>
      <c r="W5" s="25"/>
      <c r="X5" s="26"/>
      <c r="Y5" s="26"/>
      <c r="Z5" s="26"/>
      <c r="AA5" s="575"/>
      <c r="AB5" s="575"/>
      <c r="AC5" s="50">
        <v>6</v>
      </c>
      <c r="AD5" s="27"/>
      <c r="AE5" s="20">
        <f t="shared" ref="AE5:AE60" si="8">M5-J5</f>
        <v>-91.764705882352018</v>
      </c>
      <c r="AF5" s="425">
        <f t="shared" ref="AF5:AF68" si="9">M5/J5</f>
        <v>0.95411764705882396</v>
      </c>
      <c r="AG5" s="573">
        <f>AF11</f>
        <v>0.95950466476913299</v>
      </c>
    </row>
    <row r="6" spans="1:33">
      <c r="A6" s="606" t="s">
        <v>2621</v>
      </c>
      <c r="B6" s="39" t="s">
        <v>74</v>
      </c>
      <c r="C6" s="607" t="s">
        <v>77</v>
      </c>
      <c r="D6" s="607"/>
      <c r="E6" s="39">
        <v>50.67</v>
      </c>
      <c r="F6" s="430">
        <v>1617</v>
      </c>
      <c r="G6" s="426">
        <f t="shared" si="0"/>
        <v>81933.39</v>
      </c>
      <c r="H6" s="48" t="s">
        <v>126</v>
      </c>
      <c r="I6" s="428">
        <v>15</v>
      </c>
      <c r="J6" s="43">
        <v>2000</v>
      </c>
      <c r="K6" s="18">
        <f t="shared" si="1"/>
        <v>133.33333333333334</v>
      </c>
      <c r="L6" s="428">
        <v>15</v>
      </c>
      <c r="M6" s="19">
        <f t="shared" si="2"/>
        <v>1902.3529411764712</v>
      </c>
      <c r="N6" s="18">
        <f t="shared" si="3"/>
        <v>126.82352941176474</v>
      </c>
      <c r="O6" s="20">
        <f t="shared" si="4"/>
        <v>0</v>
      </c>
      <c r="P6" s="21">
        <f t="shared" si="5"/>
        <v>-6.5098039215686043</v>
      </c>
      <c r="Q6" s="425">
        <f t="shared" si="6"/>
        <v>0.95117647058823551</v>
      </c>
      <c r="R6" s="573"/>
      <c r="S6" s="49">
        <v>0.74791666666666667</v>
      </c>
      <c r="T6" s="49">
        <v>0.78333333333333333</v>
      </c>
      <c r="U6" s="426">
        <f t="shared" ref="U6:U10" si="10">IF(S6=TIME(17,0,0),"",(S6-T5)*24*60)</f>
        <v>5.9999999999999787</v>
      </c>
      <c r="V6" s="429">
        <f t="shared" si="7"/>
        <v>50.999999999999979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-97.647058823528823</v>
      </c>
      <c r="AF6" s="425">
        <f t="shared" si="9"/>
        <v>0.95117647058823562</v>
      </c>
      <c r="AG6" s="573"/>
    </row>
    <row r="7" spans="1:33">
      <c r="A7" s="606" t="s">
        <v>2621</v>
      </c>
      <c r="B7" s="39" t="s">
        <v>74</v>
      </c>
      <c r="C7" s="598" t="s">
        <v>86</v>
      </c>
      <c r="D7" s="599"/>
      <c r="E7" s="39">
        <v>50.92</v>
      </c>
      <c r="F7" s="430">
        <v>1000</v>
      </c>
      <c r="G7" s="426">
        <f t="shared" si="0"/>
        <v>50920</v>
      </c>
      <c r="H7" s="48">
        <v>2</v>
      </c>
      <c r="I7" s="428">
        <v>15</v>
      </c>
      <c r="J7" s="43">
        <v>2000</v>
      </c>
      <c r="K7" s="18">
        <f t="shared" si="1"/>
        <v>133.33333333333334</v>
      </c>
      <c r="L7" s="428">
        <v>15</v>
      </c>
      <c r="M7" s="19">
        <f t="shared" si="2"/>
        <v>1935.483870967739</v>
      </c>
      <c r="N7" s="18">
        <f t="shared" si="3"/>
        <v>129.03225806451593</v>
      </c>
      <c r="O7" s="20">
        <f t="shared" si="4"/>
        <v>0</v>
      </c>
      <c r="P7" s="21">
        <f t="shared" si="5"/>
        <v>-4.3010752688174136</v>
      </c>
      <c r="Q7" s="425">
        <f t="shared" si="6"/>
        <v>0.96774193548386944</v>
      </c>
      <c r="R7" s="573"/>
      <c r="S7" s="49">
        <v>0.78819444444444442</v>
      </c>
      <c r="T7" s="49">
        <v>0.80972222222222223</v>
      </c>
      <c r="U7" s="426">
        <f t="shared" si="10"/>
        <v>6.9999999999999751</v>
      </c>
      <c r="V7" s="429">
        <f t="shared" si="7"/>
        <v>31.00000000000005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-64.516129032261006</v>
      </c>
      <c r="AF7" s="425">
        <f t="shared" si="9"/>
        <v>0.96774193548386944</v>
      </c>
      <c r="AG7" s="573"/>
    </row>
    <row r="8" spans="1:33">
      <c r="A8" s="606" t="s">
        <v>2621</v>
      </c>
      <c r="B8" s="39" t="s">
        <v>74</v>
      </c>
      <c r="C8" s="598" t="s">
        <v>93</v>
      </c>
      <c r="D8" s="599"/>
      <c r="E8" s="39">
        <v>50.98</v>
      </c>
      <c r="F8" s="430">
        <v>1000</v>
      </c>
      <c r="G8" s="426">
        <f t="shared" si="0"/>
        <v>50980</v>
      </c>
      <c r="H8" s="48">
        <v>2</v>
      </c>
      <c r="I8" s="428">
        <v>16</v>
      </c>
      <c r="J8" s="43">
        <v>2000</v>
      </c>
      <c r="K8" s="18">
        <f t="shared" si="1"/>
        <v>125</v>
      </c>
      <c r="L8" s="428">
        <v>16</v>
      </c>
      <c r="M8" s="19">
        <f t="shared" si="2"/>
        <v>1935.483870967739</v>
      </c>
      <c r="N8" s="18">
        <f t="shared" si="3"/>
        <v>120.96774193548369</v>
      </c>
      <c r="O8" s="20">
        <f t="shared" si="4"/>
        <v>0</v>
      </c>
      <c r="P8" s="21">
        <f t="shared" si="5"/>
        <v>-4.0322580645163129</v>
      </c>
      <c r="Q8" s="425">
        <f t="shared" si="6"/>
        <v>0.96774193548386944</v>
      </c>
      <c r="R8" s="573"/>
      <c r="S8" s="49">
        <v>0.81388888888888888</v>
      </c>
      <c r="T8" s="49">
        <v>0.8354166666666667</v>
      </c>
      <c r="U8" s="426">
        <f t="shared" si="10"/>
        <v>5.9999999999999787</v>
      </c>
      <c r="V8" s="429">
        <f t="shared" si="7"/>
        <v>31.00000000000005</v>
      </c>
      <c r="W8" s="25">
        <f>T8</f>
        <v>0.8354166666666667</v>
      </c>
      <c r="X8" s="25">
        <f>S9</f>
        <v>0.875</v>
      </c>
      <c r="Y8" s="31"/>
      <c r="Z8" s="31"/>
      <c r="AA8" s="568"/>
      <c r="AB8" s="569"/>
      <c r="AC8" s="50"/>
      <c r="AD8" s="29"/>
      <c r="AE8" s="20">
        <f t="shared" si="8"/>
        <v>-64.516129032261006</v>
      </c>
      <c r="AF8" s="425">
        <f t="shared" si="9"/>
        <v>0.96774193548386944</v>
      </c>
      <c r="AG8" s="573"/>
    </row>
    <row r="9" spans="1:33">
      <c r="A9" s="606" t="s">
        <v>2621</v>
      </c>
      <c r="B9" s="39" t="s">
        <v>74</v>
      </c>
      <c r="C9" s="598" t="s">
        <v>86</v>
      </c>
      <c r="D9" s="599"/>
      <c r="E9" s="39">
        <v>50.92</v>
      </c>
      <c r="F9" s="430">
        <v>1472</v>
      </c>
      <c r="G9" s="426">
        <f t="shared" si="0"/>
        <v>74954.240000000005</v>
      </c>
      <c r="H9" s="48" t="s">
        <v>126</v>
      </c>
      <c r="I9" s="428">
        <v>15</v>
      </c>
      <c r="J9" s="43">
        <v>2000</v>
      </c>
      <c r="K9" s="18">
        <f t="shared" si="1"/>
        <v>133.33333333333334</v>
      </c>
      <c r="L9" s="428">
        <v>15</v>
      </c>
      <c r="M9" s="19">
        <f t="shared" si="2"/>
        <v>1920</v>
      </c>
      <c r="N9" s="18">
        <f t="shared" si="3"/>
        <v>128</v>
      </c>
      <c r="O9" s="20">
        <f t="shared" si="4"/>
        <v>0</v>
      </c>
      <c r="P9" s="21">
        <f t="shared" si="5"/>
        <v>-5.3333333333333428</v>
      </c>
      <c r="Q9" s="425">
        <f t="shared" si="6"/>
        <v>0.96</v>
      </c>
      <c r="R9" s="573"/>
      <c r="S9" s="49">
        <v>0.875</v>
      </c>
      <c r="T9" s="49">
        <v>0.90694444444444444</v>
      </c>
      <c r="U9" s="426">
        <f t="shared" si="10"/>
        <v>56.999999999999957</v>
      </c>
      <c r="V9" s="429">
        <f t="shared" si="7"/>
        <v>46</v>
      </c>
      <c r="W9" s="25"/>
      <c r="X9" s="25"/>
      <c r="Y9" s="28"/>
      <c r="Z9" s="28"/>
      <c r="AA9" s="568"/>
      <c r="AB9" s="569"/>
      <c r="AC9" s="50"/>
      <c r="AD9" s="29"/>
      <c r="AE9" s="20">
        <f t="shared" si="8"/>
        <v>-80</v>
      </c>
      <c r="AF9" s="425">
        <f t="shared" si="9"/>
        <v>0.96</v>
      </c>
      <c r="AG9" s="573"/>
    </row>
    <row r="10" spans="1:33">
      <c r="A10" s="606" t="s">
        <v>2621</v>
      </c>
      <c r="B10" s="39" t="s">
        <v>74</v>
      </c>
      <c r="C10" s="598" t="s">
        <v>93</v>
      </c>
      <c r="D10" s="599"/>
      <c r="E10" s="39">
        <v>50.98</v>
      </c>
      <c r="F10" s="430">
        <v>1530</v>
      </c>
      <c r="G10" s="426">
        <f t="shared" si="0"/>
        <v>77999.399999999994</v>
      </c>
      <c r="H10" s="48" t="s">
        <v>126</v>
      </c>
      <c r="I10" s="428">
        <v>16</v>
      </c>
      <c r="J10" s="43">
        <v>2000</v>
      </c>
      <c r="K10" s="18">
        <f t="shared" si="1"/>
        <v>125</v>
      </c>
      <c r="L10" s="428">
        <v>16</v>
      </c>
      <c r="M10" s="19">
        <f t="shared" si="2"/>
        <v>1912.5000000000007</v>
      </c>
      <c r="N10" s="18">
        <f t="shared" si="3"/>
        <v>119.53125000000004</v>
      </c>
      <c r="O10" s="20">
        <f t="shared" si="4"/>
        <v>0</v>
      </c>
      <c r="P10" s="21">
        <f t="shared" si="5"/>
        <v>-5.4687499999999574</v>
      </c>
      <c r="Q10" s="425">
        <f t="shared" si="6"/>
        <v>0.95625000000000038</v>
      </c>
      <c r="R10" s="573"/>
      <c r="S10" s="49">
        <v>0.91041666666666665</v>
      </c>
      <c r="T10" s="49">
        <v>0.94374999999999998</v>
      </c>
      <c r="U10" s="426">
        <f t="shared" si="10"/>
        <v>4.9999999999999822</v>
      </c>
      <c r="V10" s="429">
        <f t="shared" si="7"/>
        <v>47.999999999999986</v>
      </c>
      <c r="W10" s="25"/>
      <c r="X10" s="25"/>
      <c r="Y10" s="28"/>
      <c r="Z10" s="28"/>
      <c r="AA10" s="568"/>
      <c r="AB10" s="569"/>
      <c r="AC10" s="50"/>
      <c r="AD10" s="29"/>
      <c r="AE10" s="20">
        <f t="shared" si="8"/>
        <v>-87.499999999999318</v>
      </c>
      <c r="AF10" s="425">
        <f t="shared" si="9"/>
        <v>0.95625000000000038</v>
      </c>
      <c r="AG10" s="573"/>
    </row>
    <row r="11" spans="1:33">
      <c r="A11" s="606" t="s">
        <v>2621</v>
      </c>
      <c r="B11" s="39" t="s">
        <v>2622</v>
      </c>
      <c r="C11" s="576"/>
      <c r="D11" s="576"/>
      <c r="E11" s="427"/>
      <c r="F11" s="42"/>
      <c r="G11" s="18"/>
      <c r="H11" s="430"/>
      <c r="I11" s="32">
        <v>15.666666666666666</v>
      </c>
      <c r="J11" s="43">
        <v>2000</v>
      </c>
      <c r="K11" s="18">
        <f t="shared" si="1"/>
        <v>127.65957446808511</v>
      </c>
      <c r="L11" s="32">
        <v>15.666666666666666</v>
      </c>
      <c r="M11" s="19">
        <f>AVERAGE(M5:M10)</f>
        <v>1919.009329538266</v>
      </c>
      <c r="N11" s="18">
        <f t="shared" si="3"/>
        <v>122.48995720457017</v>
      </c>
      <c r="O11" s="20">
        <f t="shared" si="4"/>
        <v>0</v>
      </c>
      <c r="P11" s="21">
        <f t="shared" si="5"/>
        <v>-5.1696172635149367</v>
      </c>
      <c r="Q11" s="425">
        <f t="shared" si="6"/>
        <v>0.95950466476913299</v>
      </c>
      <c r="R11" s="573"/>
      <c r="S11" s="49"/>
      <c r="T11" s="49"/>
      <c r="U11" s="426"/>
      <c r="V11" s="429"/>
      <c r="W11" s="18"/>
      <c r="X11" s="18"/>
      <c r="Y11" s="33">
        <f>SUM(Y5:Y10)</f>
        <v>0</v>
      </c>
      <c r="Z11" s="33">
        <f>SUM(Z5:Z10)</f>
        <v>0</v>
      </c>
      <c r="AA11" s="572"/>
      <c r="AB11" s="572"/>
      <c r="AC11" s="33">
        <v>6</v>
      </c>
      <c r="AD11" s="33">
        <f>SUM(AD5:AD10)</f>
        <v>0</v>
      </c>
      <c r="AE11" s="20">
        <f t="shared" si="8"/>
        <v>-80.990670461733998</v>
      </c>
      <c r="AF11" s="425">
        <f t="shared" si="9"/>
        <v>0.95950466476913299</v>
      </c>
      <c r="AG11" s="573"/>
    </row>
    <row r="12" spans="1:33" ht="15.75" customHeight="1">
      <c r="A12" s="602" t="s">
        <v>48</v>
      </c>
      <c r="B12" s="39" t="s">
        <v>79</v>
      </c>
      <c r="C12" s="598" t="s">
        <v>80</v>
      </c>
      <c r="D12" s="599"/>
      <c r="E12" s="39">
        <v>39.619999999999997</v>
      </c>
      <c r="F12" s="430">
        <v>5035</v>
      </c>
      <c r="G12" s="426">
        <f t="shared" ref="G12:G15" si="11">E12*F12</f>
        <v>199486.69999999998</v>
      </c>
      <c r="H12" s="48" t="s">
        <v>126</v>
      </c>
      <c r="I12" s="428">
        <v>19</v>
      </c>
      <c r="J12" s="43">
        <v>1500</v>
      </c>
      <c r="K12" s="18">
        <f t="shared" si="1"/>
        <v>78.94736842105263</v>
      </c>
      <c r="L12" s="428">
        <v>19</v>
      </c>
      <c r="M12" s="19">
        <f t="shared" ref="M12:M15" si="12">F12/V12*60</f>
        <v>1431.7535545023693</v>
      </c>
      <c r="N12" s="18">
        <f t="shared" si="3"/>
        <v>75.355450236966803</v>
      </c>
      <c r="O12" s="20">
        <f t="shared" si="4"/>
        <v>0</v>
      </c>
      <c r="P12" s="21">
        <f t="shared" si="5"/>
        <v>-3.5919181840858272</v>
      </c>
      <c r="Q12" s="425">
        <f t="shared" si="6"/>
        <v>0.9545023696682462</v>
      </c>
      <c r="R12" s="573">
        <f>Q16</f>
        <v>0.95428054066918822</v>
      </c>
      <c r="S12" s="49">
        <v>8.3333333333333329E-2</v>
      </c>
      <c r="T12" s="49">
        <v>0.22986111111111113</v>
      </c>
      <c r="U12" s="426"/>
      <c r="V12" s="429">
        <f t="shared" ref="V12:V15" si="13">(T12-S12)*24*60</f>
        <v>211.00000000000006</v>
      </c>
      <c r="W12" s="25">
        <f>T12</f>
        <v>0.22986111111111113</v>
      </c>
      <c r="X12" s="25">
        <f>S13</f>
        <v>0.24791666666666667</v>
      </c>
      <c r="Y12" s="25"/>
      <c r="Z12" s="25"/>
      <c r="AA12" s="575"/>
      <c r="AB12" s="575"/>
      <c r="AC12" s="50">
        <v>4</v>
      </c>
      <c r="AD12" s="27"/>
      <c r="AE12" s="20">
        <f t="shared" si="8"/>
        <v>-68.246445497630702</v>
      </c>
      <c r="AF12" s="425">
        <f t="shared" si="9"/>
        <v>0.9545023696682462</v>
      </c>
      <c r="AG12" s="573">
        <f>AF16</f>
        <v>0.95428054066918822</v>
      </c>
    </row>
    <row r="13" spans="1:33" ht="15.75" customHeight="1">
      <c r="A13" s="602" t="s">
        <v>48</v>
      </c>
      <c r="B13" s="39" t="s">
        <v>79</v>
      </c>
      <c r="C13" s="598" t="s">
        <v>81</v>
      </c>
      <c r="D13" s="599"/>
      <c r="E13" s="39">
        <v>39.799999999999997</v>
      </c>
      <c r="F13" s="430">
        <v>3100</v>
      </c>
      <c r="G13" s="426">
        <f t="shared" si="11"/>
        <v>123379.99999999999</v>
      </c>
      <c r="H13" s="48">
        <v>2</v>
      </c>
      <c r="I13" s="428">
        <v>17</v>
      </c>
      <c r="J13" s="43">
        <v>1500</v>
      </c>
      <c r="K13" s="18">
        <f t="shared" si="1"/>
        <v>88.235294117647058</v>
      </c>
      <c r="L13" s="428">
        <v>17</v>
      </c>
      <c r="M13" s="19">
        <f t="shared" si="12"/>
        <v>1430.7692307692305</v>
      </c>
      <c r="N13" s="18">
        <f t="shared" si="3"/>
        <v>84.162895927601795</v>
      </c>
      <c r="O13" s="20">
        <f t="shared" si="4"/>
        <v>0</v>
      </c>
      <c r="P13" s="21">
        <f t="shared" si="5"/>
        <v>-4.0723981900452628</v>
      </c>
      <c r="Q13" s="425">
        <f t="shared" si="6"/>
        <v>0.95384615384615368</v>
      </c>
      <c r="R13" s="573"/>
      <c r="S13" s="49">
        <v>0.24791666666666667</v>
      </c>
      <c r="T13" s="49">
        <v>0.33819444444444446</v>
      </c>
      <c r="U13" s="426">
        <f t="shared" ref="U13:U15" si="14">IF(S13=TIME(17,0,0),"",(S13-T12)*24*60)</f>
        <v>25.999999999999986</v>
      </c>
      <c r="V13" s="429">
        <f t="shared" si="13"/>
        <v>130.00000000000003</v>
      </c>
      <c r="W13" s="25"/>
      <c r="X13" s="25"/>
      <c r="Y13" s="25"/>
      <c r="Z13" s="25"/>
      <c r="AA13" s="575"/>
      <c r="AB13" s="575"/>
      <c r="AC13" s="50"/>
      <c r="AD13" s="27"/>
      <c r="AE13" s="20">
        <f t="shared" si="8"/>
        <v>-69.230769230769511</v>
      </c>
      <c r="AF13" s="425">
        <f t="shared" si="9"/>
        <v>0.95384615384615368</v>
      </c>
      <c r="AG13" s="573"/>
    </row>
    <row r="14" spans="1:33" ht="15.75" customHeight="1">
      <c r="A14" s="602" t="s">
        <v>48</v>
      </c>
      <c r="B14" s="39" t="s">
        <v>79</v>
      </c>
      <c r="C14" s="598" t="s">
        <v>1953</v>
      </c>
      <c r="D14" s="599"/>
      <c r="E14" s="39">
        <v>39.46</v>
      </c>
      <c r="F14" s="430">
        <v>4228</v>
      </c>
      <c r="G14" s="426">
        <f t="shared" si="11"/>
        <v>166836.88</v>
      </c>
      <c r="H14" s="48" t="s">
        <v>126</v>
      </c>
      <c r="I14" s="428">
        <v>16</v>
      </c>
      <c r="J14" s="43">
        <v>1500</v>
      </c>
      <c r="K14" s="18">
        <f t="shared" si="1"/>
        <v>93.75</v>
      </c>
      <c r="L14" s="428">
        <v>16</v>
      </c>
      <c r="M14" s="19">
        <f t="shared" si="12"/>
        <v>1433.2203389830509</v>
      </c>
      <c r="N14" s="18">
        <f t="shared" si="3"/>
        <v>89.576271186440678</v>
      </c>
      <c r="O14" s="20">
        <f t="shared" si="4"/>
        <v>0</v>
      </c>
      <c r="P14" s="21">
        <f t="shared" si="5"/>
        <v>-4.1737288135593218</v>
      </c>
      <c r="Q14" s="425">
        <f t="shared" si="6"/>
        <v>0.95548022598870053</v>
      </c>
      <c r="R14" s="573"/>
      <c r="S14" s="49">
        <v>0.34305555555555556</v>
      </c>
      <c r="T14" s="49">
        <v>0.46597222222222223</v>
      </c>
      <c r="U14" s="426">
        <f t="shared" si="14"/>
        <v>6.9999999999999751</v>
      </c>
      <c r="V14" s="429">
        <f t="shared" si="13"/>
        <v>177</v>
      </c>
      <c r="W14" s="25">
        <f>T14</f>
        <v>0.46597222222222223</v>
      </c>
      <c r="X14" s="25">
        <f>S15</f>
        <v>0.50763888888888886</v>
      </c>
      <c r="Y14" s="25"/>
      <c r="Z14" s="25"/>
      <c r="AA14" s="575"/>
      <c r="AB14" s="575"/>
      <c r="AC14" s="50"/>
      <c r="AD14" s="27"/>
      <c r="AE14" s="20">
        <f t="shared" si="8"/>
        <v>-66.779661016949149</v>
      </c>
      <c r="AF14" s="425">
        <f t="shared" si="9"/>
        <v>0.95548022598870053</v>
      </c>
      <c r="AG14" s="573"/>
    </row>
    <row r="15" spans="1:33" ht="15.75" customHeight="1">
      <c r="A15" s="602" t="s">
        <v>48</v>
      </c>
      <c r="B15" s="39" t="s">
        <v>79</v>
      </c>
      <c r="C15" s="598" t="s">
        <v>81</v>
      </c>
      <c r="D15" s="599"/>
      <c r="E15" s="39">
        <v>39.799999999999997</v>
      </c>
      <c r="F15" s="430">
        <v>3980</v>
      </c>
      <c r="G15" s="426">
        <f t="shared" si="11"/>
        <v>158404</v>
      </c>
      <c r="H15" s="48" t="s">
        <v>126</v>
      </c>
      <c r="I15" s="428">
        <v>17</v>
      </c>
      <c r="J15" s="43">
        <v>1500</v>
      </c>
      <c r="K15" s="18">
        <f t="shared" si="1"/>
        <v>88.235294117647058</v>
      </c>
      <c r="L15" s="428">
        <v>17</v>
      </c>
      <c r="M15" s="19">
        <f t="shared" si="12"/>
        <v>1429.9401197604784</v>
      </c>
      <c r="N15" s="18">
        <f t="shared" si="3"/>
        <v>84.114124691792853</v>
      </c>
      <c r="O15" s="20">
        <f t="shared" si="4"/>
        <v>0</v>
      </c>
      <c r="P15" s="21">
        <f t="shared" si="5"/>
        <v>-4.1211694258542053</v>
      </c>
      <c r="Q15" s="425">
        <f t="shared" si="6"/>
        <v>0.95329341317365235</v>
      </c>
      <c r="R15" s="573"/>
      <c r="S15" s="49">
        <v>0.50763888888888886</v>
      </c>
      <c r="T15" s="49">
        <v>0.62361111111111112</v>
      </c>
      <c r="U15" s="426">
        <f t="shared" si="14"/>
        <v>59.999999999999943</v>
      </c>
      <c r="V15" s="429">
        <f t="shared" si="13"/>
        <v>167.00000000000006</v>
      </c>
      <c r="W15" s="25"/>
      <c r="X15" s="25"/>
      <c r="Y15" s="25"/>
      <c r="Z15" s="25"/>
      <c r="AA15" s="568"/>
      <c r="AB15" s="569"/>
      <c r="AC15" s="50"/>
      <c r="AD15" s="27"/>
      <c r="AE15" s="20">
        <f t="shared" si="8"/>
        <v>-70.05988023952159</v>
      </c>
      <c r="AF15" s="425">
        <f t="shared" si="9"/>
        <v>0.95329341317365224</v>
      </c>
      <c r="AG15" s="573"/>
    </row>
    <row r="16" spans="1:33" ht="16.5" customHeight="1">
      <c r="A16" s="602" t="s">
        <v>48</v>
      </c>
      <c r="B16" s="39" t="s">
        <v>46</v>
      </c>
      <c r="C16" s="576"/>
      <c r="D16" s="576"/>
      <c r="E16" s="427"/>
      <c r="F16" s="43"/>
      <c r="G16" s="19"/>
      <c r="H16" s="430"/>
      <c r="I16" s="32">
        <v>17.25</v>
      </c>
      <c r="J16" s="43">
        <v>1500</v>
      </c>
      <c r="K16" s="18">
        <f t="shared" si="1"/>
        <v>86.956521739130437</v>
      </c>
      <c r="L16" s="32">
        <v>17.25</v>
      </c>
      <c r="M16" s="19">
        <f>AVERAGE(M12:M15)</f>
        <v>1431.4208110037823</v>
      </c>
      <c r="N16" s="18">
        <f t="shared" si="3"/>
        <v>82.980916579929414</v>
      </c>
      <c r="O16" s="20">
        <f t="shared" si="4"/>
        <v>0</v>
      </c>
      <c r="P16" s="21">
        <f t="shared" si="5"/>
        <v>-3.9756051592010238</v>
      </c>
      <c r="Q16" s="425">
        <f t="shared" si="6"/>
        <v>0.95428054066918822</v>
      </c>
      <c r="R16" s="573"/>
      <c r="S16" s="49"/>
      <c r="T16" s="49"/>
      <c r="U16" s="18"/>
      <c r="V16" s="429"/>
      <c r="W16" s="18"/>
      <c r="X16" s="18"/>
      <c r="Y16" s="33">
        <f>SUM(Y12:Y15)</f>
        <v>0</v>
      </c>
      <c r="Z16" s="33">
        <f>SUM(Z12:Z15)</f>
        <v>0</v>
      </c>
      <c r="AA16" s="572"/>
      <c r="AB16" s="572"/>
      <c r="AC16" s="33">
        <v>4</v>
      </c>
      <c r="AD16" s="33">
        <f>SUM(AD12:AD15)</f>
        <v>0</v>
      </c>
      <c r="AE16" s="20">
        <f t="shared" si="8"/>
        <v>-68.579188996217681</v>
      </c>
      <c r="AF16" s="425">
        <f t="shared" si="9"/>
        <v>0.95428054066918822</v>
      </c>
      <c r="AG16" s="573"/>
    </row>
    <row r="17" spans="1:33" ht="16.5" customHeight="1">
      <c r="A17" s="600" t="s">
        <v>50</v>
      </c>
      <c r="B17" s="430" t="s">
        <v>82</v>
      </c>
      <c r="C17" s="594" t="s">
        <v>83</v>
      </c>
      <c r="D17" s="594"/>
      <c r="E17" s="39">
        <v>41</v>
      </c>
      <c r="F17" s="430">
        <v>1902</v>
      </c>
      <c r="G17" s="426">
        <f t="shared" ref="G17:G21" si="15">E17*F17</f>
        <v>77982</v>
      </c>
      <c r="H17" s="48" t="s">
        <v>126</v>
      </c>
      <c r="I17" s="428">
        <v>26</v>
      </c>
      <c r="J17" s="43">
        <v>1500</v>
      </c>
      <c r="K17" s="18">
        <f t="shared" si="1"/>
        <v>57.692307692307693</v>
      </c>
      <c r="L17" s="428">
        <v>26</v>
      </c>
      <c r="M17" s="19">
        <f t="shared" ref="M17:M21" si="16">F17/V17*60</f>
        <v>1444.5569620253166</v>
      </c>
      <c r="N17" s="18">
        <f t="shared" si="3"/>
        <v>55.559883154819872</v>
      </c>
      <c r="O17" s="20">
        <f t="shared" si="4"/>
        <v>0</v>
      </c>
      <c r="P17" s="21">
        <f t="shared" si="5"/>
        <v>-2.1324245374878217</v>
      </c>
      <c r="Q17" s="425">
        <f t="shared" si="6"/>
        <v>0.96303797468354446</v>
      </c>
      <c r="R17" s="573">
        <f>Q22</f>
        <v>0.96200793135379714</v>
      </c>
      <c r="S17" s="49">
        <v>0.20833333333333334</v>
      </c>
      <c r="T17" s="49">
        <v>0.26319444444444445</v>
      </c>
      <c r="U17" s="426"/>
      <c r="V17" s="429">
        <f t="shared" ref="V17:V21" si="17">(T17-S17)*24*60</f>
        <v>79</v>
      </c>
      <c r="W17" s="30"/>
      <c r="X17" s="30"/>
      <c r="Y17" s="30"/>
      <c r="Z17" s="30"/>
      <c r="AA17" s="575"/>
      <c r="AB17" s="575"/>
      <c r="AC17" s="50">
        <v>5</v>
      </c>
      <c r="AD17" s="27"/>
      <c r="AE17" s="20">
        <f t="shared" si="8"/>
        <v>-55.443037974683421</v>
      </c>
      <c r="AF17" s="425">
        <f t="shared" si="9"/>
        <v>0.96303797468354435</v>
      </c>
      <c r="AG17" s="573">
        <f>AF22</f>
        <v>0.96200793135379714</v>
      </c>
    </row>
    <row r="18" spans="1:33" ht="16.5" customHeight="1">
      <c r="A18" s="601" t="s">
        <v>50</v>
      </c>
      <c r="B18" s="430" t="s">
        <v>74</v>
      </c>
      <c r="C18" s="594" t="s">
        <v>85</v>
      </c>
      <c r="D18" s="594"/>
      <c r="E18" s="39">
        <v>53.68</v>
      </c>
      <c r="F18" s="430">
        <v>1265</v>
      </c>
      <c r="G18" s="426">
        <f t="shared" si="15"/>
        <v>67905.2</v>
      </c>
      <c r="H18" s="48" t="s">
        <v>126</v>
      </c>
      <c r="I18" s="428">
        <v>16</v>
      </c>
      <c r="J18" s="43">
        <v>1500</v>
      </c>
      <c r="K18" s="18">
        <f t="shared" si="1"/>
        <v>93.75</v>
      </c>
      <c r="L18" s="428">
        <v>16</v>
      </c>
      <c r="M18" s="19">
        <f t="shared" si="16"/>
        <v>1432.0754716981139</v>
      </c>
      <c r="N18" s="18">
        <f t="shared" si="3"/>
        <v>89.50471698113212</v>
      </c>
      <c r="O18" s="20">
        <f t="shared" si="4"/>
        <v>0</v>
      </c>
      <c r="P18" s="21">
        <f t="shared" si="5"/>
        <v>-4.2452830188678803</v>
      </c>
      <c r="Q18" s="425">
        <f t="shared" si="6"/>
        <v>0.95471698113207593</v>
      </c>
      <c r="R18" s="573"/>
      <c r="S18" s="49">
        <v>0.70833333333333337</v>
      </c>
      <c r="T18" s="49">
        <v>0.74513888888888891</v>
      </c>
      <c r="U18" s="426" t="str">
        <f t="shared" ref="U18:U21" si="18">IF(S18=TIME(17,0,0),"",(S18-T17)*24*60)</f>
        <v/>
      </c>
      <c r="V18" s="429">
        <f t="shared" si="17"/>
        <v>52.999999999999972</v>
      </c>
      <c r="W18" s="25"/>
      <c r="X18" s="25"/>
      <c r="Y18" s="25"/>
      <c r="Z18" s="25"/>
      <c r="AA18" s="575"/>
      <c r="AB18" s="575"/>
      <c r="AC18" s="50"/>
      <c r="AD18" s="27"/>
      <c r="AE18" s="20">
        <f t="shared" si="8"/>
        <v>-67.924528301886085</v>
      </c>
      <c r="AF18" s="425">
        <f t="shared" si="9"/>
        <v>0.95471698113207593</v>
      </c>
      <c r="AG18" s="573"/>
    </row>
    <row r="19" spans="1:33" ht="16.5" customHeight="1">
      <c r="A19" s="601" t="s">
        <v>50</v>
      </c>
      <c r="B19" s="430" t="s">
        <v>74</v>
      </c>
      <c r="C19" s="594" t="s">
        <v>78</v>
      </c>
      <c r="D19" s="594"/>
      <c r="E19" s="39">
        <v>52.86</v>
      </c>
      <c r="F19" s="430">
        <v>1581</v>
      </c>
      <c r="G19" s="426">
        <f t="shared" si="15"/>
        <v>83571.66</v>
      </c>
      <c r="H19" s="48" t="s">
        <v>126</v>
      </c>
      <c r="I19" s="428">
        <v>16</v>
      </c>
      <c r="J19" s="43">
        <v>2000</v>
      </c>
      <c r="K19" s="18">
        <f t="shared" si="1"/>
        <v>125</v>
      </c>
      <c r="L19" s="428">
        <v>16</v>
      </c>
      <c r="M19" s="19">
        <f t="shared" si="16"/>
        <v>1935.9183673469395</v>
      </c>
      <c r="N19" s="18">
        <f t="shared" si="3"/>
        <v>120.99489795918372</v>
      </c>
      <c r="O19" s="20">
        <f t="shared" si="4"/>
        <v>0</v>
      </c>
      <c r="P19" s="21">
        <f t="shared" si="5"/>
        <v>-4.0051020408162827</v>
      </c>
      <c r="Q19" s="425">
        <f t="shared" si="6"/>
        <v>0.96795918367346978</v>
      </c>
      <c r="R19" s="573"/>
      <c r="S19" s="49">
        <v>0.74861111111111112</v>
      </c>
      <c r="T19" s="49">
        <v>0.78263888888888888</v>
      </c>
      <c r="U19" s="426">
        <f t="shared" si="18"/>
        <v>4.9999999999999822</v>
      </c>
      <c r="V19" s="429">
        <f t="shared" si="17"/>
        <v>48.999999999999986</v>
      </c>
      <c r="W19" s="25"/>
      <c r="X19" s="25"/>
      <c r="Y19" s="25"/>
      <c r="Z19" s="25"/>
      <c r="AA19" s="575"/>
      <c r="AB19" s="575"/>
      <c r="AC19" s="50"/>
      <c r="AD19" s="27"/>
      <c r="AE19" s="20">
        <f t="shared" si="8"/>
        <v>-64.081632653060524</v>
      </c>
      <c r="AF19" s="425">
        <f t="shared" si="9"/>
        <v>0.96795918367346978</v>
      </c>
      <c r="AG19" s="573"/>
    </row>
    <row r="20" spans="1:33" ht="16.5" customHeight="1">
      <c r="A20" s="601" t="s">
        <v>50</v>
      </c>
      <c r="B20" s="430" t="s">
        <v>74</v>
      </c>
      <c r="C20" s="594" t="s">
        <v>1826</v>
      </c>
      <c r="D20" s="594"/>
      <c r="E20" s="39">
        <v>51.06</v>
      </c>
      <c r="F20" s="430">
        <v>1800</v>
      </c>
      <c r="G20" s="426">
        <f t="shared" si="15"/>
        <v>91908</v>
      </c>
      <c r="H20" s="48">
        <v>2</v>
      </c>
      <c r="I20" s="428">
        <v>13</v>
      </c>
      <c r="J20" s="43">
        <v>2000</v>
      </c>
      <c r="K20" s="18">
        <f t="shared" si="1"/>
        <v>153.84615384615384</v>
      </c>
      <c r="L20" s="428">
        <v>13</v>
      </c>
      <c r="M20" s="19">
        <f t="shared" si="16"/>
        <v>1928.57142857143</v>
      </c>
      <c r="N20" s="18">
        <f t="shared" si="3"/>
        <v>148.35164835164846</v>
      </c>
      <c r="O20" s="20">
        <f t="shared" si="4"/>
        <v>0</v>
      </c>
      <c r="P20" s="21">
        <f t="shared" si="5"/>
        <v>-5.4945054945053755</v>
      </c>
      <c r="Q20" s="425">
        <f t="shared" si="6"/>
        <v>0.96428571428571508</v>
      </c>
      <c r="R20" s="573"/>
      <c r="S20" s="49">
        <v>0.78680555555555554</v>
      </c>
      <c r="T20" s="49">
        <v>0.8256944444444444</v>
      </c>
      <c r="U20" s="426">
        <f t="shared" si="18"/>
        <v>5.9999999999999787</v>
      </c>
      <c r="V20" s="429">
        <f t="shared" si="17"/>
        <v>55.999999999999957</v>
      </c>
      <c r="W20" s="25">
        <f>T20</f>
        <v>0.8256944444444444</v>
      </c>
      <c r="X20" s="25">
        <f>S21</f>
        <v>0.86597222222222214</v>
      </c>
      <c r="Y20" s="25"/>
      <c r="Z20" s="25"/>
      <c r="AA20" s="575"/>
      <c r="AB20" s="575"/>
      <c r="AC20" s="50"/>
      <c r="AD20" s="27"/>
      <c r="AE20" s="20">
        <f t="shared" si="8"/>
        <v>-71.428571428569967</v>
      </c>
      <c r="AF20" s="425">
        <f t="shared" si="9"/>
        <v>0.96428571428571497</v>
      </c>
      <c r="AG20" s="573"/>
    </row>
    <row r="21" spans="1:33" ht="16.5" customHeight="1">
      <c r="A21" s="601" t="s">
        <v>50</v>
      </c>
      <c r="B21" s="430" t="s">
        <v>74</v>
      </c>
      <c r="C21" s="594" t="s">
        <v>1826</v>
      </c>
      <c r="D21" s="594"/>
      <c r="E21" s="39">
        <v>51.06</v>
      </c>
      <c r="F21" s="430">
        <v>1885</v>
      </c>
      <c r="G21" s="426">
        <f t="shared" si="15"/>
        <v>96248.1</v>
      </c>
      <c r="H21" s="48" t="s">
        <v>126</v>
      </c>
      <c r="I21" s="428">
        <v>13</v>
      </c>
      <c r="J21" s="43">
        <v>2000</v>
      </c>
      <c r="K21" s="18">
        <f t="shared" si="1"/>
        <v>153.84615384615384</v>
      </c>
      <c r="L21" s="428">
        <v>13</v>
      </c>
      <c r="M21" s="19">
        <f t="shared" si="16"/>
        <v>1916.9491525423743</v>
      </c>
      <c r="N21" s="18">
        <f t="shared" si="3"/>
        <v>147.45762711864418</v>
      </c>
      <c r="O21" s="20">
        <f t="shared" si="4"/>
        <v>0</v>
      </c>
      <c r="P21" s="21">
        <f t="shared" si="5"/>
        <v>-6.3885267275096567</v>
      </c>
      <c r="Q21" s="425">
        <f t="shared" si="6"/>
        <v>0.95847457627118726</v>
      </c>
      <c r="R21" s="573"/>
      <c r="S21" s="49">
        <v>0.86597222222222214</v>
      </c>
      <c r="T21" s="49">
        <v>0.90694444444444433</v>
      </c>
      <c r="U21" s="426">
        <f t="shared" si="18"/>
        <v>57.999999999999957</v>
      </c>
      <c r="V21" s="429">
        <f t="shared" si="17"/>
        <v>58.99999999999995</v>
      </c>
      <c r="W21" s="25"/>
      <c r="X21" s="25"/>
      <c r="Y21" s="25"/>
      <c r="Z21" s="25"/>
      <c r="AA21" s="575"/>
      <c r="AB21" s="575"/>
      <c r="AC21" s="50"/>
      <c r="AD21" s="27"/>
      <c r="AE21" s="20">
        <f t="shared" si="8"/>
        <v>-83.05084745762565</v>
      </c>
      <c r="AF21" s="425">
        <f t="shared" si="9"/>
        <v>0.95847457627118715</v>
      </c>
      <c r="AG21" s="573"/>
    </row>
    <row r="22" spans="1:33" ht="16.5" customHeight="1">
      <c r="A22" s="601" t="s">
        <v>50</v>
      </c>
      <c r="B22" s="39" t="s">
        <v>46</v>
      </c>
      <c r="C22" s="576"/>
      <c r="D22" s="576"/>
      <c r="E22" s="427"/>
      <c r="F22" s="42"/>
      <c r="G22" s="18"/>
      <c r="H22" s="430"/>
      <c r="I22" s="32">
        <v>16.8</v>
      </c>
      <c r="J22" s="43">
        <v>1800</v>
      </c>
      <c r="K22" s="18">
        <f t="shared" si="1"/>
        <v>107.14285714285714</v>
      </c>
      <c r="L22" s="32">
        <v>16.8</v>
      </c>
      <c r="M22" s="19">
        <f>AVERAGE(M17:M21)</f>
        <v>1731.6142764368349</v>
      </c>
      <c r="N22" s="18">
        <f t="shared" si="3"/>
        <v>103.0722783593354</v>
      </c>
      <c r="O22" s="20">
        <f t="shared" si="4"/>
        <v>0</v>
      </c>
      <c r="P22" s="21">
        <f t="shared" si="5"/>
        <v>-4.0705787835217393</v>
      </c>
      <c r="Q22" s="425">
        <f t="shared" si="6"/>
        <v>0.96200793135379714</v>
      </c>
      <c r="R22" s="573"/>
      <c r="S22" s="49"/>
      <c r="T22" s="49"/>
      <c r="U22" s="426"/>
      <c r="V22" s="429"/>
      <c r="W22" s="18"/>
      <c r="X22" s="18"/>
      <c r="Y22" s="33">
        <f>SUM(Y17:Y21)</f>
        <v>0</v>
      </c>
      <c r="Z22" s="33">
        <f>SUM(Z17:Z21)</f>
        <v>0</v>
      </c>
      <c r="AA22" s="572"/>
      <c r="AB22" s="572"/>
      <c r="AC22" s="33">
        <v>5</v>
      </c>
      <c r="AD22" s="33">
        <f>SUM(AD17:AD21)</f>
        <v>0</v>
      </c>
      <c r="AE22" s="20">
        <f t="shared" si="8"/>
        <v>-68.385723563165129</v>
      </c>
      <c r="AF22" s="425">
        <f t="shared" si="9"/>
        <v>0.96200793135379714</v>
      </c>
      <c r="AG22" s="573"/>
    </row>
    <row r="23" spans="1:33" ht="15.75" customHeight="1">
      <c r="A23" s="596" t="s">
        <v>53</v>
      </c>
      <c r="B23" s="39" t="s">
        <v>74</v>
      </c>
      <c r="C23" s="594" t="s">
        <v>84</v>
      </c>
      <c r="D23" s="594"/>
      <c r="E23" s="39">
        <v>54.09</v>
      </c>
      <c r="F23" s="430">
        <v>1780</v>
      </c>
      <c r="G23" s="426">
        <f t="shared" ref="G23:G30" si="19">E23*F23</f>
        <v>96280.200000000012</v>
      </c>
      <c r="H23" s="48" t="s">
        <v>126</v>
      </c>
      <c r="I23" s="428">
        <v>17</v>
      </c>
      <c r="J23" s="43">
        <v>1500</v>
      </c>
      <c r="K23" s="18">
        <f t="shared" si="1"/>
        <v>88.235294117647058</v>
      </c>
      <c r="L23" s="428">
        <v>17</v>
      </c>
      <c r="M23" s="19">
        <f t="shared" ref="M23:M30" si="20">F23/V23*60</f>
        <v>1443.2432432432429</v>
      </c>
      <c r="N23" s="18">
        <f t="shared" si="3"/>
        <v>84.896661367249578</v>
      </c>
      <c r="O23" s="20">
        <f t="shared" si="4"/>
        <v>0</v>
      </c>
      <c r="P23" s="21">
        <f t="shared" si="5"/>
        <v>-3.3386327503974798</v>
      </c>
      <c r="Q23" s="425">
        <f t="shared" si="6"/>
        <v>0.96216216216216188</v>
      </c>
      <c r="R23" s="573">
        <f>Q31</f>
        <v>0.95792700300199096</v>
      </c>
      <c r="S23" s="49">
        <v>0.20833333333333334</v>
      </c>
      <c r="T23" s="49">
        <v>0.25972222222222224</v>
      </c>
      <c r="U23" s="426"/>
      <c r="V23" s="429">
        <f t="shared" ref="V23:V30" si="21">(T23-S23)*24*60</f>
        <v>74.000000000000014</v>
      </c>
      <c r="W23" s="30"/>
      <c r="X23" s="30"/>
      <c r="Y23" s="30"/>
      <c r="Z23" s="30"/>
      <c r="AA23" s="575"/>
      <c r="AB23" s="575"/>
      <c r="AC23" s="50">
        <v>8</v>
      </c>
      <c r="AD23" s="27"/>
      <c r="AE23" s="20">
        <f t="shared" si="8"/>
        <v>-56.756756756757113</v>
      </c>
      <c r="AF23" s="425">
        <f t="shared" si="9"/>
        <v>0.96216216216216188</v>
      </c>
      <c r="AG23" s="573">
        <f>AF31</f>
        <v>0.95792700300199107</v>
      </c>
    </row>
    <row r="24" spans="1:33" ht="15.75" customHeight="1">
      <c r="A24" s="597" t="s">
        <v>53</v>
      </c>
      <c r="B24" s="39" t="s">
        <v>74</v>
      </c>
      <c r="C24" s="594" t="s">
        <v>89</v>
      </c>
      <c r="D24" s="594"/>
      <c r="E24" s="39">
        <v>50.67</v>
      </c>
      <c r="F24" s="430">
        <v>2030</v>
      </c>
      <c r="G24" s="426">
        <f t="shared" si="19"/>
        <v>102860.1</v>
      </c>
      <c r="H24" s="48" t="s">
        <v>126</v>
      </c>
      <c r="I24" s="428">
        <v>17</v>
      </c>
      <c r="J24" s="43">
        <v>2000</v>
      </c>
      <c r="K24" s="18">
        <f t="shared" si="1"/>
        <v>117.64705882352941</v>
      </c>
      <c r="L24" s="428">
        <v>17</v>
      </c>
      <c r="M24" s="19">
        <f t="shared" si="20"/>
        <v>1903.1249999999995</v>
      </c>
      <c r="N24" s="18">
        <f t="shared" si="3"/>
        <v>111.94852941176468</v>
      </c>
      <c r="O24" s="20">
        <f t="shared" si="4"/>
        <v>0</v>
      </c>
      <c r="P24" s="21">
        <f t="shared" si="5"/>
        <v>-5.6985294117647243</v>
      </c>
      <c r="Q24" s="425">
        <f t="shared" si="6"/>
        <v>0.95156249999999987</v>
      </c>
      <c r="R24" s="573"/>
      <c r="S24" s="49">
        <v>0.26527777777777778</v>
      </c>
      <c r="T24" s="49">
        <v>0.30972222222222223</v>
      </c>
      <c r="U24" s="426">
        <f t="shared" ref="U24:U30" si="22">IF(S24=TIME(17,0,0),"",(S24-T23)*24*60)</f>
        <v>7.9999999999999716</v>
      </c>
      <c r="V24" s="429">
        <f t="shared" si="21"/>
        <v>64.000000000000014</v>
      </c>
      <c r="W24" s="25"/>
      <c r="X24" s="426"/>
      <c r="Y24" s="426"/>
      <c r="Z24" s="426"/>
      <c r="AA24" s="575"/>
      <c r="AB24" s="575"/>
      <c r="AC24" s="50"/>
      <c r="AD24" s="27"/>
      <c r="AE24" s="20">
        <f t="shared" si="8"/>
        <v>-96.875000000000455</v>
      </c>
      <c r="AF24" s="425">
        <f t="shared" si="9"/>
        <v>0.95156249999999976</v>
      </c>
      <c r="AG24" s="573"/>
    </row>
    <row r="25" spans="1:33" ht="15.75" customHeight="1">
      <c r="A25" s="597" t="s">
        <v>53</v>
      </c>
      <c r="B25" s="39" t="s">
        <v>74</v>
      </c>
      <c r="C25" s="594" t="s">
        <v>90</v>
      </c>
      <c r="D25" s="594"/>
      <c r="E25" s="39">
        <v>57.73</v>
      </c>
      <c r="F25" s="430">
        <v>2452</v>
      </c>
      <c r="G25" s="426">
        <f t="shared" si="19"/>
        <v>141553.96</v>
      </c>
      <c r="H25" s="48" t="s">
        <v>126</v>
      </c>
      <c r="I25" s="428">
        <v>14</v>
      </c>
      <c r="J25" s="43">
        <v>2000</v>
      </c>
      <c r="K25" s="18">
        <f t="shared" si="1"/>
        <v>142.85714285714286</v>
      </c>
      <c r="L25" s="428">
        <v>14</v>
      </c>
      <c r="M25" s="19">
        <f t="shared" si="20"/>
        <v>1910.6493506493496</v>
      </c>
      <c r="N25" s="18">
        <f t="shared" si="3"/>
        <v>136.47495361781068</v>
      </c>
      <c r="O25" s="20">
        <f t="shared" si="4"/>
        <v>0</v>
      </c>
      <c r="P25" s="21">
        <f t="shared" si="5"/>
        <v>-6.3821892393321775</v>
      </c>
      <c r="Q25" s="425">
        <f t="shared" si="6"/>
        <v>0.9553246753246748</v>
      </c>
      <c r="R25" s="573"/>
      <c r="S25" s="49">
        <v>0.31319444444444444</v>
      </c>
      <c r="T25" s="49">
        <v>0.3666666666666667</v>
      </c>
      <c r="U25" s="426">
        <f t="shared" si="22"/>
        <v>4.9999999999999822</v>
      </c>
      <c r="V25" s="429">
        <f t="shared" si="21"/>
        <v>77.000000000000043</v>
      </c>
      <c r="W25" s="25"/>
      <c r="X25" s="426"/>
      <c r="Y25" s="426"/>
      <c r="Z25" s="426"/>
      <c r="AA25" s="575"/>
      <c r="AB25" s="575"/>
      <c r="AC25" s="50"/>
      <c r="AD25" s="27"/>
      <c r="AE25" s="20">
        <f t="shared" si="8"/>
        <v>-89.350649350650428</v>
      </c>
      <c r="AF25" s="425">
        <f t="shared" si="9"/>
        <v>0.9553246753246748</v>
      </c>
      <c r="AG25" s="573"/>
    </row>
    <row r="26" spans="1:33" ht="15.75" customHeight="1">
      <c r="A26" s="597" t="s">
        <v>53</v>
      </c>
      <c r="B26" s="39" t="s">
        <v>74</v>
      </c>
      <c r="C26" s="594" t="s">
        <v>1232</v>
      </c>
      <c r="D26" s="594"/>
      <c r="E26" s="39">
        <v>53.27</v>
      </c>
      <c r="F26" s="430">
        <v>1825</v>
      </c>
      <c r="G26" s="426">
        <f t="shared" si="19"/>
        <v>97217.75</v>
      </c>
      <c r="H26" s="48" t="s">
        <v>126</v>
      </c>
      <c r="I26" s="428">
        <v>16</v>
      </c>
      <c r="J26" s="43">
        <v>2000</v>
      </c>
      <c r="K26" s="18">
        <f t="shared" si="1"/>
        <v>125</v>
      </c>
      <c r="L26" s="428">
        <v>16</v>
      </c>
      <c r="M26" s="19">
        <f t="shared" si="20"/>
        <v>1921.0526315789486</v>
      </c>
      <c r="N26" s="18">
        <f t="shared" si="3"/>
        <v>120.06578947368429</v>
      </c>
      <c r="O26" s="20">
        <f t="shared" si="4"/>
        <v>0</v>
      </c>
      <c r="P26" s="21">
        <f t="shared" si="5"/>
        <v>-4.9342105263157094</v>
      </c>
      <c r="Q26" s="425">
        <f t="shared" si="6"/>
        <v>0.96052631578947434</v>
      </c>
      <c r="R26" s="573"/>
      <c r="S26" s="49">
        <v>0.37222222222222223</v>
      </c>
      <c r="T26" s="49">
        <v>0.41180555555555554</v>
      </c>
      <c r="U26" s="426">
        <f t="shared" si="22"/>
        <v>7.9999999999999716</v>
      </c>
      <c r="V26" s="429">
        <f t="shared" si="21"/>
        <v>56.999999999999957</v>
      </c>
      <c r="W26" s="25"/>
      <c r="X26" s="426"/>
      <c r="Y26" s="426"/>
      <c r="Z26" s="426"/>
      <c r="AA26" s="575"/>
      <c r="AB26" s="575"/>
      <c r="AC26" s="50"/>
      <c r="AD26" s="27"/>
      <c r="AE26" s="20">
        <f t="shared" si="8"/>
        <v>-78.947368421051351</v>
      </c>
      <c r="AF26" s="425">
        <f t="shared" si="9"/>
        <v>0.96052631578947434</v>
      </c>
      <c r="AG26" s="573"/>
    </row>
    <row r="27" spans="1:33" ht="15.75" customHeight="1">
      <c r="A27" s="597" t="s">
        <v>53</v>
      </c>
      <c r="B27" s="39" t="s">
        <v>74</v>
      </c>
      <c r="C27" s="594" t="s">
        <v>2623</v>
      </c>
      <c r="D27" s="594"/>
      <c r="E27" s="39">
        <v>37.03</v>
      </c>
      <c r="F27" s="430">
        <v>2349</v>
      </c>
      <c r="G27" s="426">
        <f t="shared" si="19"/>
        <v>86983.47</v>
      </c>
      <c r="H27" s="48" t="s">
        <v>126</v>
      </c>
      <c r="I27" s="428">
        <v>13</v>
      </c>
      <c r="J27" s="43">
        <v>1500</v>
      </c>
      <c r="K27" s="18">
        <f t="shared" si="1"/>
        <v>115.38461538461539</v>
      </c>
      <c r="L27" s="428">
        <v>13</v>
      </c>
      <c r="M27" s="19">
        <f t="shared" si="20"/>
        <v>1438.1632653061229</v>
      </c>
      <c r="N27" s="18">
        <f t="shared" si="3"/>
        <v>110.62794348508638</v>
      </c>
      <c r="O27" s="20">
        <f t="shared" si="4"/>
        <v>0</v>
      </c>
      <c r="P27" s="21">
        <f t="shared" si="5"/>
        <v>-4.7566718995290103</v>
      </c>
      <c r="Q27" s="425">
        <f t="shared" si="6"/>
        <v>0.95877551020408192</v>
      </c>
      <c r="R27" s="573"/>
      <c r="S27" s="49">
        <v>0.41736111111111107</v>
      </c>
      <c r="T27" s="49">
        <v>0.48541666666666661</v>
      </c>
      <c r="U27" s="426">
        <f t="shared" si="22"/>
        <v>7.9999999999999716</v>
      </c>
      <c r="V27" s="429">
        <f t="shared" si="21"/>
        <v>97.999999999999972</v>
      </c>
      <c r="W27" s="25"/>
      <c r="X27" s="25"/>
      <c r="Y27" s="426"/>
      <c r="Z27" s="426"/>
      <c r="AA27" s="575"/>
      <c r="AB27" s="575"/>
      <c r="AC27" s="50"/>
      <c r="AD27" s="27"/>
      <c r="AE27" s="20">
        <f t="shared" si="8"/>
        <v>-61.836734693877133</v>
      </c>
      <c r="AF27" s="425">
        <f t="shared" si="9"/>
        <v>0.95877551020408192</v>
      </c>
      <c r="AG27" s="573"/>
    </row>
    <row r="28" spans="1:33" ht="15.75" customHeight="1">
      <c r="A28" s="597" t="s">
        <v>53</v>
      </c>
      <c r="B28" s="39" t="s">
        <v>74</v>
      </c>
      <c r="C28" s="594" t="s">
        <v>92</v>
      </c>
      <c r="D28" s="594"/>
      <c r="E28" s="39">
        <v>50.49</v>
      </c>
      <c r="F28" s="430">
        <v>1997</v>
      </c>
      <c r="G28" s="426">
        <f t="shared" si="19"/>
        <v>100828.53</v>
      </c>
      <c r="H28" s="48" t="s">
        <v>126</v>
      </c>
      <c r="I28" s="428">
        <v>15</v>
      </c>
      <c r="J28" s="43">
        <v>2000</v>
      </c>
      <c r="K28" s="18">
        <f t="shared" si="1"/>
        <v>133.33333333333334</v>
      </c>
      <c r="L28" s="428">
        <v>15</v>
      </c>
      <c r="M28" s="19">
        <f t="shared" si="20"/>
        <v>1932.5806451612921</v>
      </c>
      <c r="N28" s="18">
        <f t="shared" si="3"/>
        <v>128.83870967741947</v>
      </c>
      <c r="O28" s="20">
        <f t="shared" si="4"/>
        <v>0</v>
      </c>
      <c r="P28" s="21">
        <f t="shared" si="5"/>
        <v>-4.4946236559138697</v>
      </c>
      <c r="Q28" s="425">
        <f t="shared" si="6"/>
        <v>0.96629032258064596</v>
      </c>
      <c r="R28" s="573"/>
      <c r="S28" s="49">
        <v>0.70833333333333337</v>
      </c>
      <c r="T28" s="49">
        <v>0.75138888888888888</v>
      </c>
      <c r="U28" s="426" t="str">
        <f t="shared" si="22"/>
        <v/>
      </c>
      <c r="V28" s="429">
        <f t="shared" si="21"/>
        <v>61.999999999999943</v>
      </c>
      <c r="W28" s="25"/>
      <c r="X28" s="30"/>
      <c r="Y28" s="30"/>
      <c r="Z28" s="30"/>
      <c r="AA28" s="575"/>
      <c r="AB28" s="575"/>
      <c r="AC28" s="50"/>
      <c r="AD28" s="27"/>
      <c r="AE28" s="20">
        <f t="shared" si="8"/>
        <v>-67.419354838707932</v>
      </c>
      <c r="AF28" s="425">
        <f t="shared" si="9"/>
        <v>0.96629032258064607</v>
      </c>
      <c r="AG28" s="573"/>
    </row>
    <row r="29" spans="1:33" ht="15.75" customHeight="1">
      <c r="A29" s="597" t="s">
        <v>53</v>
      </c>
      <c r="B29" s="39" t="s">
        <v>74</v>
      </c>
      <c r="C29" s="630" t="s">
        <v>2524</v>
      </c>
      <c r="D29" s="631"/>
      <c r="E29" s="39">
        <v>56.43</v>
      </c>
      <c r="F29" s="430">
        <v>3500</v>
      </c>
      <c r="G29" s="426">
        <f t="shared" si="19"/>
        <v>197505</v>
      </c>
      <c r="H29" s="48">
        <v>2</v>
      </c>
      <c r="I29" s="428">
        <v>13</v>
      </c>
      <c r="J29" s="43">
        <v>2000</v>
      </c>
      <c r="K29" s="18">
        <f t="shared" si="1"/>
        <v>153.84615384615384</v>
      </c>
      <c r="L29" s="428">
        <v>13</v>
      </c>
      <c r="M29" s="19">
        <f t="shared" si="20"/>
        <v>1909.0909090909104</v>
      </c>
      <c r="N29" s="18">
        <f t="shared" si="3"/>
        <v>146.85314685314694</v>
      </c>
      <c r="O29" s="20">
        <f t="shared" si="4"/>
        <v>0</v>
      </c>
      <c r="P29" s="21">
        <f t="shared" si="5"/>
        <v>-6.993006993006901</v>
      </c>
      <c r="Q29" s="425">
        <f t="shared" si="6"/>
        <v>0.95454545454545514</v>
      </c>
      <c r="R29" s="573"/>
      <c r="S29" s="49">
        <v>0.75624999999999998</v>
      </c>
      <c r="T29" s="49">
        <v>0.83263888888888882</v>
      </c>
      <c r="U29" s="426">
        <f t="shared" si="22"/>
        <v>6.9999999999999751</v>
      </c>
      <c r="V29" s="429">
        <f t="shared" si="21"/>
        <v>109.99999999999993</v>
      </c>
      <c r="W29" s="25">
        <f>T29</f>
        <v>0.83263888888888882</v>
      </c>
      <c r="X29" s="25">
        <f>S30</f>
        <v>0.87222222222222212</v>
      </c>
      <c r="Y29" s="31"/>
      <c r="Z29" s="31"/>
      <c r="AA29" s="568"/>
      <c r="AB29" s="569"/>
      <c r="AC29" s="50"/>
      <c r="AD29" s="27"/>
      <c r="AE29" s="20">
        <f t="shared" si="8"/>
        <v>-90.909090909089628</v>
      </c>
      <c r="AF29" s="425">
        <f t="shared" si="9"/>
        <v>0.95454545454545514</v>
      </c>
      <c r="AG29" s="573"/>
    </row>
    <row r="30" spans="1:33" ht="15.75" customHeight="1">
      <c r="A30" s="597" t="s">
        <v>53</v>
      </c>
      <c r="B30" s="39" t="s">
        <v>74</v>
      </c>
      <c r="C30" s="432" t="s">
        <v>2524</v>
      </c>
      <c r="D30" s="433"/>
      <c r="E30" s="39">
        <v>56.43</v>
      </c>
      <c r="F30" s="430">
        <v>1274</v>
      </c>
      <c r="G30" s="426">
        <f t="shared" si="19"/>
        <v>71891.819999999992</v>
      </c>
      <c r="H30" s="48" t="s">
        <v>126</v>
      </c>
      <c r="I30" s="428">
        <v>13</v>
      </c>
      <c r="J30" s="43">
        <v>2000</v>
      </c>
      <c r="K30" s="18">
        <f t="shared" si="1"/>
        <v>153.84615384615384</v>
      </c>
      <c r="L30" s="428">
        <v>13</v>
      </c>
      <c r="M30" s="19">
        <f t="shared" si="20"/>
        <v>1910.9999999999993</v>
      </c>
      <c r="N30" s="18">
        <f t="shared" si="3"/>
        <v>146.99999999999994</v>
      </c>
      <c r="O30" s="20">
        <f t="shared" si="4"/>
        <v>0</v>
      </c>
      <c r="P30" s="21">
        <f t="shared" si="5"/>
        <v>-6.8461538461538964</v>
      </c>
      <c r="Q30" s="425">
        <f t="shared" si="6"/>
        <v>0.95549999999999968</v>
      </c>
      <c r="R30" s="573"/>
      <c r="S30" s="49">
        <v>0.87222222222222212</v>
      </c>
      <c r="T30" s="49">
        <v>0.89999999999999991</v>
      </c>
      <c r="U30" s="426">
        <f t="shared" si="22"/>
        <v>56.999999999999957</v>
      </c>
      <c r="V30" s="429">
        <f t="shared" si="21"/>
        <v>40.000000000000014</v>
      </c>
      <c r="W30" s="25"/>
      <c r="X30" s="25"/>
      <c r="Y30" s="28"/>
      <c r="Z30" s="28"/>
      <c r="AA30" s="421"/>
      <c r="AB30" s="422"/>
      <c r="AC30" s="50"/>
      <c r="AD30" s="27"/>
      <c r="AE30" s="20">
        <f t="shared" si="8"/>
        <v>-89.000000000000682</v>
      </c>
      <c r="AF30" s="425">
        <f t="shared" si="9"/>
        <v>0.95549999999999968</v>
      </c>
      <c r="AG30" s="573"/>
    </row>
    <row r="31" spans="1:33" ht="15.75" customHeight="1">
      <c r="A31" s="597" t="s">
        <v>53</v>
      </c>
      <c r="B31" s="39" t="s">
        <v>46</v>
      </c>
      <c r="C31" s="576"/>
      <c r="D31" s="576"/>
      <c r="E31" s="427"/>
      <c r="F31" s="430"/>
      <c r="G31" s="426"/>
      <c r="H31" s="430"/>
      <c r="I31" s="32">
        <v>14.75</v>
      </c>
      <c r="J31" s="43">
        <v>1875</v>
      </c>
      <c r="K31" s="18">
        <f t="shared" si="1"/>
        <v>127.11864406779661</v>
      </c>
      <c r="L31" s="32">
        <v>14.75</v>
      </c>
      <c r="M31" s="19">
        <f>AVERAGE(M23:M30)</f>
        <v>1796.1131306287332</v>
      </c>
      <c r="N31" s="18">
        <f t="shared" si="3"/>
        <v>121.77038173754123</v>
      </c>
      <c r="O31" s="20">
        <f t="shared" si="4"/>
        <v>0</v>
      </c>
      <c r="P31" s="21">
        <f t="shared" si="5"/>
        <v>-5.3482623302553804</v>
      </c>
      <c r="Q31" s="425">
        <f t="shared" si="6"/>
        <v>0.95792700300199096</v>
      </c>
      <c r="R31" s="573"/>
      <c r="S31" s="49"/>
      <c r="T31" s="49"/>
      <c r="U31" s="18"/>
      <c r="V31" s="429"/>
      <c r="W31" s="18"/>
      <c r="X31" s="18"/>
      <c r="Y31" s="33">
        <f>SUM(Y23:Y30)</f>
        <v>0</v>
      </c>
      <c r="Z31" s="33">
        <f>SUM(Z23:Z30)</f>
        <v>0</v>
      </c>
      <c r="AA31" s="572"/>
      <c r="AB31" s="572"/>
      <c r="AC31" s="33">
        <v>8</v>
      </c>
      <c r="AD31" s="33">
        <f>SUM(AD23:AD30)</f>
        <v>0</v>
      </c>
      <c r="AE31" s="20">
        <f t="shared" si="8"/>
        <v>-78.886869371266812</v>
      </c>
      <c r="AF31" s="425">
        <f t="shared" si="9"/>
        <v>0.95792700300199107</v>
      </c>
      <c r="AG31" s="573"/>
    </row>
    <row r="32" spans="1:33" ht="15.75" customHeight="1">
      <c r="A32" s="595" t="s">
        <v>2624</v>
      </c>
      <c r="B32" s="39" t="s">
        <v>94</v>
      </c>
      <c r="C32" s="594" t="s">
        <v>95</v>
      </c>
      <c r="D32" s="594"/>
      <c r="E32" s="39">
        <v>31.29</v>
      </c>
      <c r="F32" s="430">
        <v>6100</v>
      </c>
      <c r="G32" s="426">
        <f t="shared" ref="G32:G38" si="23">E32*F32</f>
        <v>190869</v>
      </c>
      <c r="H32" s="48">
        <v>2</v>
      </c>
      <c r="I32" s="428">
        <v>18</v>
      </c>
      <c r="J32" s="43">
        <v>2400</v>
      </c>
      <c r="K32" s="18">
        <f t="shared" si="1"/>
        <v>133.33333333333334</v>
      </c>
      <c r="L32" s="428">
        <v>18</v>
      </c>
      <c r="M32" s="19">
        <f t="shared" ref="M32:M38" si="24">F32/V32*60</f>
        <v>2287.5000000000005</v>
      </c>
      <c r="N32" s="18">
        <f t="shared" si="3"/>
        <v>127.08333333333336</v>
      </c>
      <c r="O32" s="20">
        <f t="shared" si="4"/>
        <v>0</v>
      </c>
      <c r="P32" s="21">
        <f t="shared" si="5"/>
        <v>-6.2499999999999858</v>
      </c>
      <c r="Q32" s="425">
        <f t="shared" si="6"/>
        <v>0.95312500000000011</v>
      </c>
      <c r="R32" s="573">
        <f>Q39</f>
        <v>0.95464593240357132</v>
      </c>
      <c r="S32" s="49">
        <v>8.3333333333333329E-2</v>
      </c>
      <c r="T32" s="49">
        <v>0.19444444444444442</v>
      </c>
      <c r="U32" s="426"/>
      <c r="V32" s="429">
        <f t="shared" ref="V32:V38" si="25">(T32-S32)*24*60</f>
        <v>159.99999999999997</v>
      </c>
      <c r="W32" s="25">
        <f>T32</f>
        <v>0.19444444444444442</v>
      </c>
      <c r="X32" s="25">
        <f>S33</f>
        <v>0.2159722222222222</v>
      </c>
      <c r="Y32" s="25"/>
      <c r="Z32" s="25"/>
      <c r="AA32" s="575"/>
      <c r="AB32" s="575"/>
      <c r="AC32" s="50">
        <v>7</v>
      </c>
      <c r="AD32" s="27"/>
      <c r="AE32" s="20">
        <f t="shared" si="8"/>
        <v>-112.49999999999955</v>
      </c>
      <c r="AF32" s="425">
        <f t="shared" si="9"/>
        <v>0.95312500000000022</v>
      </c>
      <c r="AG32" s="573">
        <f>AF39</f>
        <v>0.95464593240357143</v>
      </c>
    </row>
    <row r="33" spans="1:33" ht="15.75" customHeight="1">
      <c r="A33" s="595" t="s">
        <v>2624</v>
      </c>
      <c r="B33" s="39" t="s">
        <v>94</v>
      </c>
      <c r="C33" s="594" t="s">
        <v>97</v>
      </c>
      <c r="D33" s="594"/>
      <c r="E33" s="39">
        <v>26.37</v>
      </c>
      <c r="F33" s="430">
        <v>4200</v>
      </c>
      <c r="G33" s="426">
        <f t="shared" si="23"/>
        <v>110754</v>
      </c>
      <c r="H33" s="48">
        <v>2</v>
      </c>
      <c r="I33" s="428">
        <v>18</v>
      </c>
      <c r="J33" s="43">
        <v>2400</v>
      </c>
      <c r="K33" s="18">
        <f t="shared" si="1"/>
        <v>133.33333333333334</v>
      </c>
      <c r="L33" s="428">
        <v>18</v>
      </c>
      <c r="M33" s="19">
        <f t="shared" si="24"/>
        <v>2290.9090909090914</v>
      </c>
      <c r="N33" s="18">
        <f t="shared" si="3"/>
        <v>127.27272727272731</v>
      </c>
      <c r="O33" s="20">
        <f t="shared" si="4"/>
        <v>0</v>
      </c>
      <c r="P33" s="21">
        <f t="shared" si="5"/>
        <v>-6.0606060606060339</v>
      </c>
      <c r="Q33" s="425">
        <f t="shared" si="6"/>
        <v>0.9545454545454547</v>
      </c>
      <c r="R33" s="573"/>
      <c r="S33" s="49">
        <v>0.2159722222222222</v>
      </c>
      <c r="T33" s="49">
        <v>0.29236111111111107</v>
      </c>
      <c r="U33" s="426">
        <f t="shared" ref="U33:U38" si="26">(S33-T32)*24*60</f>
        <v>31.000000000000011</v>
      </c>
      <c r="V33" s="429">
        <f t="shared" si="25"/>
        <v>109.99999999999997</v>
      </c>
      <c r="W33" s="25"/>
      <c r="X33" s="25"/>
      <c r="Y33" s="25"/>
      <c r="Z33" s="25"/>
      <c r="AA33" s="575"/>
      <c r="AB33" s="575"/>
      <c r="AC33" s="50"/>
      <c r="AD33" s="27"/>
      <c r="AE33" s="20">
        <f t="shared" si="8"/>
        <v>-109.09090909090855</v>
      </c>
      <c r="AF33" s="425">
        <f t="shared" si="9"/>
        <v>0.95454545454545481</v>
      </c>
      <c r="AG33" s="573"/>
    </row>
    <row r="34" spans="1:33" ht="15.75" customHeight="1">
      <c r="A34" s="595" t="s">
        <v>2625</v>
      </c>
      <c r="B34" s="39" t="s">
        <v>94</v>
      </c>
      <c r="C34" s="594" t="s">
        <v>529</v>
      </c>
      <c r="D34" s="594"/>
      <c r="E34" s="39">
        <v>26.18</v>
      </c>
      <c r="F34" s="430">
        <v>4700</v>
      </c>
      <c r="G34" s="426">
        <f t="shared" si="23"/>
        <v>123046</v>
      </c>
      <c r="H34" s="48">
        <v>2</v>
      </c>
      <c r="I34" s="428">
        <v>18</v>
      </c>
      <c r="J34" s="43">
        <v>2400</v>
      </c>
      <c r="K34" s="18">
        <f t="shared" si="1"/>
        <v>133.33333333333334</v>
      </c>
      <c r="L34" s="428">
        <v>18</v>
      </c>
      <c r="M34" s="19">
        <f t="shared" si="24"/>
        <v>2292.682926829269</v>
      </c>
      <c r="N34" s="18">
        <f t="shared" si="3"/>
        <v>127.37127371273716</v>
      </c>
      <c r="O34" s="20">
        <f t="shared" si="4"/>
        <v>0</v>
      </c>
      <c r="P34" s="21">
        <f t="shared" si="5"/>
        <v>-5.9620596205961789</v>
      </c>
      <c r="Q34" s="425">
        <f t="shared" si="6"/>
        <v>0.95528455284552871</v>
      </c>
      <c r="R34" s="573"/>
      <c r="S34" s="49">
        <v>0.29722222222222217</v>
      </c>
      <c r="T34" s="49">
        <v>0.38263888888888881</v>
      </c>
      <c r="U34" s="426">
        <f t="shared" si="26"/>
        <v>6.9999999999999751</v>
      </c>
      <c r="V34" s="429">
        <f t="shared" si="25"/>
        <v>122.99999999999996</v>
      </c>
      <c r="W34" s="25"/>
      <c r="X34" s="25"/>
      <c r="Y34" s="25"/>
      <c r="Z34" s="25"/>
      <c r="AA34" s="575"/>
      <c r="AB34" s="575"/>
      <c r="AC34" s="50"/>
      <c r="AD34" s="27"/>
      <c r="AE34" s="20">
        <f t="shared" si="8"/>
        <v>-107.31707317073096</v>
      </c>
      <c r="AF34" s="425">
        <f t="shared" si="9"/>
        <v>0.95528455284552871</v>
      </c>
      <c r="AG34" s="573"/>
    </row>
    <row r="35" spans="1:33" ht="15.75" customHeight="1">
      <c r="A35" s="595" t="s">
        <v>2624</v>
      </c>
      <c r="B35" s="39" t="s">
        <v>94</v>
      </c>
      <c r="C35" s="594" t="s">
        <v>98</v>
      </c>
      <c r="D35" s="594"/>
      <c r="E35" s="39">
        <v>25.99</v>
      </c>
      <c r="F35" s="430">
        <v>4567</v>
      </c>
      <c r="G35" s="426">
        <f t="shared" si="23"/>
        <v>118696.32999999999</v>
      </c>
      <c r="H35" s="48" t="s">
        <v>126</v>
      </c>
      <c r="I35" s="428">
        <v>14</v>
      </c>
      <c r="J35" s="43">
        <v>2400</v>
      </c>
      <c r="K35" s="18">
        <f t="shared" si="1"/>
        <v>171.42857142857142</v>
      </c>
      <c r="L35" s="428">
        <v>14</v>
      </c>
      <c r="M35" s="19">
        <f t="shared" si="24"/>
        <v>2283.5000000000005</v>
      </c>
      <c r="N35" s="18">
        <f t="shared" si="3"/>
        <v>163.10714285714289</v>
      </c>
      <c r="O35" s="20">
        <f t="shared" si="4"/>
        <v>0</v>
      </c>
      <c r="P35" s="21">
        <f t="shared" si="5"/>
        <v>-8.3214285714285268</v>
      </c>
      <c r="Q35" s="425">
        <f t="shared" si="6"/>
        <v>0.95145833333333363</v>
      </c>
      <c r="R35" s="573"/>
      <c r="S35" s="49">
        <v>0.38819444444444434</v>
      </c>
      <c r="T35" s="49">
        <v>0.47152777777777766</v>
      </c>
      <c r="U35" s="426">
        <f t="shared" si="26"/>
        <v>7.9999999999999716</v>
      </c>
      <c r="V35" s="429">
        <f t="shared" si="25"/>
        <v>119.99999999999997</v>
      </c>
      <c r="W35" s="25">
        <f>T35</f>
        <v>0.47152777777777766</v>
      </c>
      <c r="X35" s="25">
        <f>S36</f>
        <v>0.51111111111111096</v>
      </c>
      <c r="Y35" s="25"/>
      <c r="Z35" s="25"/>
      <c r="AA35" s="575"/>
      <c r="AB35" s="575"/>
      <c r="AC35" s="50"/>
      <c r="AD35" s="27"/>
      <c r="AE35" s="20">
        <f t="shared" si="8"/>
        <v>-116.49999999999955</v>
      </c>
      <c r="AF35" s="425">
        <f t="shared" si="9"/>
        <v>0.95145833333333352</v>
      </c>
      <c r="AG35" s="573"/>
    </row>
    <row r="36" spans="1:33" ht="15.75" customHeight="1">
      <c r="A36" s="595" t="s">
        <v>2624</v>
      </c>
      <c r="B36" s="39" t="s">
        <v>94</v>
      </c>
      <c r="C36" s="594" t="s">
        <v>95</v>
      </c>
      <c r="D36" s="594"/>
      <c r="E36" s="39">
        <v>31.29</v>
      </c>
      <c r="F36" s="430">
        <v>4307</v>
      </c>
      <c r="G36" s="426">
        <f t="shared" si="23"/>
        <v>134766.03</v>
      </c>
      <c r="H36" s="48" t="s">
        <v>126</v>
      </c>
      <c r="I36" s="428">
        <v>18</v>
      </c>
      <c r="J36" s="43">
        <v>2400</v>
      </c>
      <c r="K36" s="18">
        <f t="shared" si="1"/>
        <v>133.33333333333334</v>
      </c>
      <c r="L36" s="428">
        <v>18</v>
      </c>
      <c r="M36" s="19">
        <f t="shared" si="24"/>
        <v>2286.9026548672582</v>
      </c>
      <c r="N36" s="18">
        <f t="shared" si="3"/>
        <v>127.05014749262546</v>
      </c>
      <c r="O36" s="20">
        <f t="shared" si="4"/>
        <v>0</v>
      </c>
      <c r="P36" s="21">
        <f t="shared" si="5"/>
        <v>-6.2831858407078869</v>
      </c>
      <c r="Q36" s="425">
        <f t="shared" si="6"/>
        <v>0.95287610619469088</v>
      </c>
      <c r="R36" s="573"/>
      <c r="S36" s="49">
        <v>0.51111111111111096</v>
      </c>
      <c r="T36" s="49">
        <v>0.58958333333333313</v>
      </c>
      <c r="U36" s="426">
        <f t="shared" si="26"/>
        <v>56.999999999999957</v>
      </c>
      <c r="V36" s="429">
        <f t="shared" si="25"/>
        <v>112.99999999999991</v>
      </c>
      <c r="W36" s="25"/>
      <c r="X36" s="25"/>
      <c r="Y36" s="25"/>
      <c r="Z36" s="25"/>
      <c r="AA36" s="575"/>
      <c r="AB36" s="575"/>
      <c r="AC36" s="50"/>
      <c r="AD36" s="27"/>
      <c r="AE36" s="20">
        <f t="shared" si="8"/>
        <v>-113.09734513274179</v>
      </c>
      <c r="AF36" s="425">
        <f t="shared" si="9"/>
        <v>0.95287610619469088</v>
      </c>
      <c r="AG36" s="573"/>
    </row>
    <row r="37" spans="1:33" ht="15.75" customHeight="1">
      <c r="A37" s="595" t="s">
        <v>2624</v>
      </c>
      <c r="B37" s="39" t="s">
        <v>94</v>
      </c>
      <c r="C37" s="594" t="s">
        <v>529</v>
      </c>
      <c r="D37" s="594"/>
      <c r="E37" s="39">
        <v>26.18</v>
      </c>
      <c r="F37" s="430">
        <v>3516</v>
      </c>
      <c r="G37" s="426">
        <f t="shared" si="23"/>
        <v>92048.88</v>
      </c>
      <c r="H37" s="48" t="s">
        <v>126</v>
      </c>
      <c r="I37" s="428">
        <v>18</v>
      </c>
      <c r="J37" s="43">
        <v>2400</v>
      </c>
      <c r="K37" s="18">
        <f t="shared" si="1"/>
        <v>133.33333333333334</v>
      </c>
      <c r="L37" s="428">
        <v>18</v>
      </c>
      <c r="M37" s="19">
        <f t="shared" si="24"/>
        <v>2293.0434782608695</v>
      </c>
      <c r="N37" s="18">
        <f t="shared" si="3"/>
        <v>127.39130434782608</v>
      </c>
      <c r="O37" s="20">
        <f t="shared" si="4"/>
        <v>0</v>
      </c>
      <c r="P37" s="21">
        <f t="shared" si="5"/>
        <v>-5.9420289855072639</v>
      </c>
      <c r="Q37" s="425">
        <f t="shared" si="6"/>
        <v>0.95543478260869552</v>
      </c>
      <c r="R37" s="573"/>
      <c r="S37" s="49">
        <v>0.59513888888888866</v>
      </c>
      <c r="T37" s="49">
        <v>0.65902777777777755</v>
      </c>
      <c r="U37" s="426">
        <f t="shared" si="26"/>
        <v>7.9999999999999716</v>
      </c>
      <c r="V37" s="429">
        <f t="shared" si="25"/>
        <v>92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8"/>
        <v>-106.95652173913049</v>
      </c>
      <c r="AF37" s="425">
        <f t="shared" si="9"/>
        <v>0.95543478260869563</v>
      </c>
      <c r="AG37" s="573"/>
    </row>
    <row r="38" spans="1:33" ht="15.75" customHeight="1">
      <c r="A38" s="595" t="s">
        <v>2624</v>
      </c>
      <c r="B38" s="39" t="s">
        <v>94</v>
      </c>
      <c r="C38" s="594" t="s">
        <v>97</v>
      </c>
      <c r="D38" s="594"/>
      <c r="E38" s="39">
        <v>26.37</v>
      </c>
      <c r="F38" s="430">
        <v>2841</v>
      </c>
      <c r="G38" s="426">
        <f t="shared" si="23"/>
        <v>74917.17</v>
      </c>
      <c r="H38" s="48" t="s">
        <v>126</v>
      </c>
      <c r="I38" s="428">
        <v>18</v>
      </c>
      <c r="J38" s="43">
        <v>2400</v>
      </c>
      <c r="K38" s="18">
        <f t="shared" si="1"/>
        <v>133.33333333333334</v>
      </c>
      <c r="L38" s="428">
        <v>18</v>
      </c>
      <c r="M38" s="19">
        <f t="shared" si="24"/>
        <v>2303.5135135135115</v>
      </c>
      <c r="N38" s="18">
        <f t="shared" si="3"/>
        <v>127.97297297297285</v>
      </c>
      <c r="O38" s="20">
        <f t="shared" si="4"/>
        <v>0</v>
      </c>
      <c r="P38" s="21">
        <f t="shared" si="5"/>
        <v>-5.3603603603604881</v>
      </c>
      <c r="Q38" s="425">
        <f t="shared" si="6"/>
        <v>0.95979729729729635</v>
      </c>
      <c r="R38" s="573"/>
      <c r="S38" s="49">
        <v>0.66388888888888864</v>
      </c>
      <c r="T38" s="49">
        <v>0.71527777777777757</v>
      </c>
      <c r="U38" s="426">
        <f t="shared" si="26"/>
        <v>6.9999999999999751</v>
      </c>
      <c r="V38" s="429">
        <f t="shared" si="25"/>
        <v>74.000000000000057</v>
      </c>
      <c r="W38" s="25"/>
      <c r="X38" s="25"/>
      <c r="Y38" s="25"/>
      <c r="Z38" s="25"/>
      <c r="AA38" s="575"/>
      <c r="AB38" s="575"/>
      <c r="AC38" s="50"/>
      <c r="AD38" s="27"/>
      <c r="AE38" s="20">
        <f t="shared" si="8"/>
        <v>-96.486486486488502</v>
      </c>
      <c r="AF38" s="425">
        <f t="shared" si="9"/>
        <v>0.95979729729729646</v>
      </c>
      <c r="AG38" s="573"/>
    </row>
    <row r="39" spans="1:33" ht="15.75" customHeight="1">
      <c r="A39" s="595" t="s">
        <v>2624</v>
      </c>
      <c r="B39" s="39" t="s">
        <v>2626</v>
      </c>
      <c r="C39" s="576"/>
      <c r="D39" s="576"/>
      <c r="E39" s="427"/>
      <c r="F39" s="430"/>
      <c r="G39" s="426"/>
      <c r="H39" s="430"/>
      <c r="I39" s="32">
        <v>17.428571428571427</v>
      </c>
      <c r="J39" s="43">
        <v>2400</v>
      </c>
      <c r="K39" s="18">
        <f t="shared" si="1"/>
        <v>137.70491803278691</v>
      </c>
      <c r="L39" s="32">
        <v>17.428571428571427</v>
      </c>
      <c r="M39" s="19">
        <f>AVERAGE(M32:M38)</f>
        <v>2291.1502377685715</v>
      </c>
      <c r="N39" s="18">
        <f t="shared" si="3"/>
        <v>131.45943987196722</v>
      </c>
      <c r="O39" s="20">
        <f t="shared" si="4"/>
        <v>0</v>
      </c>
      <c r="P39" s="21">
        <f t="shared" si="5"/>
        <v>-6.2454781608196868</v>
      </c>
      <c r="Q39" s="425">
        <f t="shared" si="6"/>
        <v>0.95464593240357132</v>
      </c>
      <c r="R39" s="573"/>
      <c r="S39" s="49"/>
      <c r="T39" s="49"/>
      <c r="U39" s="426"/>
      <c r="V39" s="429"/>
      <c r="W39" s="426"/>
      <c r="X39" s="426"/>
      <c r="Y39" s="33">
        <f>SUM(Y32:Y38)</f>
        <v>0</v>
      </c>
      <c r="Z39" s="33">
        <f>SUM(Z32:Z38)</f>
        <v>0</v>
      </c>
      <c r="AA39" s="572"/>
      <c r="AB39" s="572"/>
      <c r="AC39" s="33">
        <v>7</v>
      </c>
      <c r="AD39" s="33">
        <f>SUM(AD32:AD38)</f>
        <v>0</v>
      </c>
      <c r="AE39" s="20">
        <f t="shared" si="8"/>
        <v>-108.84976223142849</v>
      </c>
      <c r="AF39" s="425">
        <f t="shared" si="9"/>
        <v>0.95464593240357143</v>
      </c>
      <c r="AG39" s="573"/>
    </row>
    <row r="40" spans="1:33" ht="15.75" customHeight="1">
      <c r="A40" s="592" t="s">
        <v>2627</v>
      </c>
      <c r="B40" s="39" t="s">
        <v>94</v>
      </c>
      <c r="C40" s="574" t="s">
        <v>530</v>
      </c>
      <c r="D40" s="574"/>
      <c r="E40" s="39">
        <v>26.18</v>
      </c>
      <c r="F40" s="430">
        <v>3900</v>
      </c>
      <c r="G40" s="426">
        <f t="shared" ref="G40:G47" si="27">E40*F40</f>
        <v>102102</v>
      </c>
      <c r="H40" s="48">
        <v>2</v>
      </c>
      <c r="I40" s="428">
        <v>20</v>
      </c>
      <c r="J40" s="43">
        <v>2400</v>
      </c>
      <c r="K40" s="18">
        <f t="shared" si="1"/>
        <v>120</v>
      </c>
      <c r="L40" s="428">
        <v>20</v>
      </c>
      <c r="M40" s="19">
        <f t="shared" ref="M40:M47" si="28">F40/V40*60</f>
        <v>2294.117647058823</v>
      </c>
      <c r="N40" s="18">
        <f t="shared" si="3"/>
        <v>114.70588235294115</v>
      </c>
      <c r="O40" s="20">
        <f t="shared" si="4"/>
        <v>0</v>
      </c>
      <c r="P40" s="21">
        <f t="shared" si="5"/>
        <v>-5.2941176470588545</v>
      </c>
      <c r="Q40" s="425">
        <f t="shared" si="6"/>
        <v>0.95588235294117618</v>
      </c>
      <c r="R40" s="573">
        <f>Q48</f>
        <v>0.95573074618751752</v>
      </c>
      <c r="S40" s="49">
        <v>8.3333333333333329E-2</v>
      </c>
      <c r="T40" s="49">
        <v>0.15416666666666667</v>
      </c>
      <c r="U40" s="426"/>
      <c r="V40" s="429">
        <f t="shared" ref="V40:V47" si="29">(T40-S40)*24*60</f>
        <v>102.00000000000001</v>
      </c>
      <c r="W40" s="30">
        <f>T40</f>
        <v>0.15416666666666667</v>
      </c>
      <c r="X40" s="30">
        <f>S41</f>
        <v>0.1736111111111111</v>
      </c>
      <c r="Y40" s="30"/>
      <c r="Z40" s="30"/>
      <c r="AA40" s="575"/>
      <c r="AB40" s="575"/>
      <c r="AC40" s="50">
        <v>8</v>
      </c>
      <c r="AD40" s="27"/>
      <c r="AE40" s="20">
        <f t="shared" si="8"/>
        <v>-105.88235294117703</v>
      </c>
      <c r="AF40" s="425">
        <f t="shared" si="9"/>
        <v>0.95588235294117618</v>
      </c>
      <c r="AG40" s="573">
        <f>AF48</f>
        <v>0.95573074618751741</v>
      </c>
    </row>
    <row r="41" spans="1:33" ht="15.75" customHeight="1">
      <c r="A41" s="592" t="s">
        <v>2628</v>
      </c>
      <c r="B41" s="39" t="s">
        <v>94</v>
      </c>
      <c r="C41" s="574" t="s">
        <v>100</v>
      </c>
      <c r="D41" s="574"/>
      <c r="E41" s="39">
        <v>24.43</v>
      </c>
      <c r="F41" s="430">
        <v>4000</v>
      </c>
      <c r="G41" s="426">
        <f t="shared" si="27"/>
        <v>97720</v>
      </c>
      <c r="H41" s="48">
        <v>2</v>
      </c>
      <c r="I41" s="428">
        <v>14</v>
      </c>
      <c r="J41" s="43">
        <v>2400</v>
      </c>
      <c r="K41" s="18">
        <f t="shared" si="1"/>
        <v>171.42857142857142</v>
      </c>
      <c r="L41" s="428">
        <v>14</v>
      </c>
      <c r="M41" s="19">
        <f t="shared" si="28"/>
        <v>2285.7142857142853</v>
      </c>
      <c r="N41" s="18">
        <f t="shared" si="3"/>
        <v>163.26530612244895</v>
      </c>
      <c r="O41" s="20">
        <f t="shared" si="4"/>
        <v>0</v>
      </c>
      <c r="P41" s="21">
        <f t="shared" si="5"/>
        <v>-8.1632653061224687</v>
      </c>
      <c r="Q41" s="425">
        <f t="shared" si="6"/>
        <v>0.95238095238095222</v>
      </c>
      <c r="R41" s="573"/>
      <c r="S41" s="49">
        <v>0.1736111111111111</v>
      </c>
      <c r="T41" s="49">
        <v>0.24652777777777779</v>
      </c>
      <c r="U41" s="426">
        <f t="shared" ref="U41:U47" si="30">(S41-T40)*24*60</f>
        <v>27.999999999999979</v>
      </c>
      <c r="V41" s="429">
        <f t="shared" si="29"/>
        <v>105.00000000000003</v>
      </c>
      <c r="W41" s="426"/>
      <c r="X41" s="426"/>
      <c r="Y41" s="426"/>
      <c r="Z41" s="426"/>
      <c r="AA41" s="575"/>
      <c r="AB41" s="575"/>
      <c r="AC41" s="50"/>
      <c r="AD41" s="27"/>
      <c r="AE41" s="20">
        <f t="shared" si="8"/>
        <v>-114.28571428571468</v>
      </c>
      <c r="AF41" s="425">
        <f t="shared" si="9"/>
        <v>0.95238095238095222</v>
      </c>
      <c r="AG41" s="573"/>
    </row>
    <row r="42" spans="1:33">
      <c r="A42" s="593" t="s">
        <v>2628</v>
      </c>
      <c r="B42" s="39" t="s">
        <v>94</v>
      </c>
      <c r="C42" s="574" t="s">
        <v>102</v>
      </c>
      <c r="D42" s="574"/>
      <c r="E42" s="39">
        <v>34.1</v>
      </c>
      <c r="F42" s="430">
        <v>3900</v>
      </c>
      <c r="G42" s="426">
        <f t="shared" si="27"/>
        <v>132990</v>
      </c>
      <c r="H42" s="48">
        <v>2</v>
      </c>
      <c r="I42" s="428">
        <v>17</v>
      </c>
      <c r="J42" s="43">
        <v>1600</v>
      </c>
      <c r="K42" s="18">
        <f t="shared" si="1"/>
        <v>94.117647058823536</v>
      </c>
      <c r="L42" s="428">
        <v>17</v>
      </c>
      <c r="M42" s="19">
        <f t="shared" si="28"/>
        <v>1529.411764705882</v>
      </c>
      <c r="N42" s="18">
        <f t="shared" si="3"/>
        <v>89.965397923875415</v>
      </c>
      <c r="O42" s="20">
        <f t="shared" si="4"/>
        <v>0</v>
      </c>
      <c r="P42" s="21">
        <f t="shared" si="5"/>
        <v>-4.1522491349481214</v>
      </c>
      <c r="Q42" s="425">
        <f t="shared" si="6"/>
        <v>0.95588235294117618</v>
      </c>
      <c r="R42" s="573"/>
      <c r="S42" s="49">
        <v>0.25069444444444444</v>
      </c>
      <c r="T42" s="49">
        <v>0.35694444444444445</v>
      </c>
      <c r="U42" s="426">
        <f t="shared" si="30"/>
        <v>5.9999999999999787</v>
      </c>
      <c r="V42" s="429">
        <f t="shared" si="29"/>
        <v>153.00000000000003</v>
      </c>
      <c r="W42" s="426"/>
      <c r="X42" s="426"/>
      <c r="Y42" s="426"/>
      <c r="Z42" s="426"/>
      <c r="AA42" s="575"/>
      <c r="AB42" s="575"/>
      <c r="AC42" s="50"/>
      <c r="AD42" s="27"/>
      <c r="AE42" s="20">
        <f t="shared" si="8"/>
        <v>-70.588235294118022</v>
      </c>
      <c r="AF42" s="425">
        <f t="shared" si="9"/>
        <v>0.95588235294117618</v>
      </c>
      <c r="AG42" s="573"/>
    </row>
    <row r="43" spans="1:33">
      <c r="A43" s="593" t="s">
        <v>2629</v>
      </c>
      <c r="B43" s="39" t="s">
        <v>94</v>
      </c>
      <c r="C43" s="574" t="s">
        <v>101</v>
      </c>
      <c r="D43" s="574"/>
      <c r="E43" s="39">
        <v>25.98</v>
      </c>
      <c r="F43" s="430">
        <v>3497</v>
      </c>
      <c r="G43" s="426">
        <f t="shared" si="27"/>
        <v>90852.06</v>
      </c>
      <c r="H43" s="48" t="s">
        <v>126</v>
      </c>
      <c r="I43" s="428">
        <v>19</v>
      </c>
      <c r="J43" s="43">
        <v>2400</v>
      </c>
      <c r="K43" s="18">
        <f t="shared" si="1"/>
        <v>126.31578947368421</v>
      </c>
      <c r="L43" s="428">
        <v>19</v>
      </c>
      <c r="M43" s="19">
        <f t="shared" si="28"/>
        <v>2305.7142857142858</v>
      </c>
      <c r="N43" s="18">
        <f t="shared" si="3"/>
        <v>121.35338345864662</v>
      </c>
      <c r="O43" s="20">
        <f t="shared" si="4"/>
        <v>0</v>
      </c>
      <c r="P43" s="21">
        <f t="shared" si="5"/>
        <v>-4.9624060150375868</v>
      </c>
      <c r="Q43" s="425">
        <f t="shared" si="6"/>
        <v>0.96071428571428574</v>
      </c>
      <c r="R43" s="573"/>
      <c r="S43" s="49">
        <v>0.3611111111111111</v>
      </c>
      <c r="T43" s="49">
        <v>0.42430555555555555</v>
      </c>
      <c r="U43" s="426">
        <f t="shared" si="30"/>
        <v>5.9999999999999787</v>
      </c>
      <c r="V43" s="429">
        <f t="shared" si="29"/>
        <v>91</v>
      </c>
      <c r="W43" s="25"/>
      <c r="X43" s="25"/>
      <c r="Y43" s="25"/>
      <c r="Z43" s="25"/>
      <c r="AA43" s="575"/>
      <c r="AB43" s="575"/>
      <c r="AC43" s="50"/>
      <c r="AD43" s="27"/>
      <c r="AE43" s="20">
        <f t="shared" si="8"/>
        <v>-94.285714285714221</v>
      </c>
      <c r="AF43" s="425">
        <f t="shared" si="9"/>
        <v>0.96071428571428574</v>
      </c>
      <c r="AG43" s="573"/>
    </row>
    <row r="44" spans="1:33">
      <c r="A44" s="593" t="s">
        <v>2628</v>
      </c>
      <c r="B44" s="39" t="s">
        <v>94</v>
      </c>
      <c r="C44" s="574" t="s">
        <v>1231</v>
      </c>
      <c r="D44" s="574"/>
      <c r="E44" s="39">
        <v>25.99</v>
      </c>
      <c r="F44" s="430">
        <v>2896</v>
      </c>
      <c r="G44" s="426">
        <f t="shared" si="27"/>
        <v>75267.039999999994</v>
      </c>
      <c r="H44" s="48" t="s">
        <v>126</v>
      </c>
      <c r="I44" s="428">
        <v>18</v>
      </c>
      <c r="J44" s="43">
        <v>2400</v>
      </c>
      <c r="K44" s="18">
        <f t="shared" si="1"/>
        <v>133.33333333333334</v>
      </c>
      <c r="L44" s="428">
        <v>18</v>
      </c>
      <c r="M44" s="19">
        <f t="shared" si="28"/>
        <v>2286.3157894736851</v>
      </c>
      <c r="N44" s="18">
        <f t="shared" si="3"/>
        <v>127.01754385964917</v>
      </c>
      <c r="O44" s="20">
        <f t="shared" si="4"/>
        <v>0</v>
      </c>
      <c r="P44" s="21">
        <f t="shared" si="5"/>
        <v>-6.3157894736841769</v>
      </c>
      <c r="Q44" s="425">
        <f t="shared" si="6"/>
        <v>0.95263157894736872</v>
      </c>
      <c r="R44" s="573"/>
      <c r="S44" s="49">
        <v>0.42986111111111108</v>
      </c>
      <c r="T44" s="49">
        <v>0.48263888888888884</v>
      </c>
      <c r="U44" s="426">
        <f t="shared" si="30"/>
        <v>7.9999999999999716</v>
      </c>
      <c r="V44" s="429">
        <f t="shared" si="29"/>
        <v>75.999999999999972</v>
      </c>
      <c r="W44" s="25">
        <f>T44</f>
        <v>0.48263888888888884</v>
      </c>
      <c r="X44" s="25">
        <f>S45</f>
        <v>0.52083333333333326</v>
      </c>
      <c r="Y44" s="25"/>
      <c r="Z44" s="25"/>
      <c r="AA44" s="575"/>
      <c r="AB44" s="575"/>
      <c r="AC44" s="50"/>
      <c r="AD44" s="27"/>
      <c r="AE44" s="20">
        <f t="shared" si="8"/>
        <v>-113.68421052631493</v>
      </c>
      <c r="AF44" s="425">
        <f t="shared" si="9"/>
        <v>0.95263157894736883</v>
      </c>
      <c r="AG44" s="573"/>
    </row>
    <row r="45" spans="1:33">
      <c r="A45" s="593" t="s">
        <v>58</v>
      </c>
      <c r="B45" s="39" t="s">
        <v>94</v>
      </c>
      <c r="C45" s="574" t="s">
        <v>102</v>
      </c>
      <c r="D45" s="574"/>
      <c r="E45" s="39">
        <v>34.1</v>
      </c>
      <c r="F45" s="430">
        <v>3085</v>
      </c>
      <c r="G45" s="426">
        <f t="shared" si="27"/>
        <v>105198.5</v>
      </c>
      <c r="H45" s="48" t="s">
        <v>126</v>
      </c>
      <c r="I45" s="428">
        <v>17</v>
      </c>
      <c r="J45" s="43">
        <v>1600</v>
      </c>
      <c r="K45" s="18">
        <f t="shared" si="1"/>
        <v>94.117647058823536</v>
      </c>
      <c r="L45" s="428">
        <v>17</v>
      </c>
      <c r="M45" s="19">
        <f t="shared" si="28"/>
        <v>1529.7520661157018</v>
      </c>
      <c r="N45" s="18">
        <f t="shared" si="3"/>
        <v>89.98541565386482</v>
      </c>
      <c r="O45" s="20">
        <f t="shared" si="4"/>
        <v>0</v>
      </c>
      <c r="P45" s="21">
        <f t="shared" si="5"/>
        <v>-4.1322314049587163</v>
      </c>
      <c r="Q45" s="425">
        <f t="shared" si="6"/>
        <v>0.9560950413223136</v>
      </c>
      <c r="R45" s="573"/>
      <c r="S45" s="49">
        <v>0.52083333333333326</v>
      </c>
      <c r="T45" s="49">
        <v>0.60486111111111107</v>
      </c>
      <c r="U45" s="426">
        <f t="shared" si="30"/>
        <v>54.999999999999964</v>
      </c>
      <c r="V45" s="429">
        <f t="shared" si="29"/>
        <v>121.00000000000006</v>
      </c>
      <c r="W45" s="25"/>
      <c r="X45" s="25"/>
      <c r="Y45" s="25"/>
      <c r="Z45" s="25"/>
      <c r="AA45" s="575"/>
      <c r="AB45" s="575"/>
      <c r="AC45" s="50"/>
      <c r="AD45" s="27"/>
      <c r="AE45" s="20">
        <f t="shared" si="8"/>
        <v>-70.247933884298163</v>
      </c>
      <c r="AF45" s="425">
        <f t="shared" si="9"/>
        <v>0.9560950413223136</v>
      </c>
      <c r="AG45" s="573"/>
    </row>
    <row r="46" spans="1:33">
      <c r="A46" s="593" t="s">
        <v>2630</v>
      </c>
      <c r="B46" s="39" t="s">
        <v>94</v>
      </c>
      <c r="C46" s="574" t="s">
        <v>100</v>
      </c>
      <c r="D46" s="574"/>
      <c r="E46" s="39">
        <v>24.43</v>
      </c>
      <c r="F46" s="430">
        <v>3236</v>
      </c>
      <c r="G46" s="426">
        <f t="shared" si="27"/>
        <v>79055.48</v>
      </c>
      <c r="H46" s="48" t="s">
        <v>126</v>
      </c>
      <c r="I46" s="428">
        <v>14</v>
      </c>
      <c r="J46" s="43">
        <v>2400</v>
      </c>
      <c r="K46" s="18">
        <f t="shared" si="1"/>
        <v>171.42857142857142</v>
      </c>
      <c r="L46" s="428">
        <v>14</v>
      </c>
      <c r="M46" s="19">
        <f t="shared" si="28"/>
        <v>2284.2352941176468</v>
      </c>
      <c r="N46" s="18">
        <f t="shared" si="3"/>
        <v>163.15966386554621</v>
      </c>
      <c r="O46" s="20">
        <f t="shared" si="4"/>
        <v>0</v>
      </c>
      <c r="P46" s="21">
        <f t="shared" si="5"/>
        <v>-8.2689075630252091</v>
      </c>
      <c r="Q46" s="425">
        <f t="shared" si="6"/>
        <v>0.95176470588235296</v>
      </c>
      <c r="R46" s="573"/>
      <c r="S46" s="49">
        <v>0.60972222222222217</v>
      </c>
      <c r="T46" s="49">
        <v>0.66874999999999996</v>
      </c>
      <c r="U46" s="426">
        <f t="shared" si="30"/>
        <v>6.9999999999999751</v>
      </c>
      <c r="V46" s="429">
        <f t="shared" si="29"/>
        <v>85.000000000000014</v>
      </c>
      <c r="W46" s="25"/>
      <c r="X46" s="25"/>
      <c r="Y46" s="28"/>
      <c r="Z46" s="28"/>
      <c r="AA46" s="568"/>
      <c r="AB46" s="569"/>
      <c r="AC46" s="50"/>
      <c r="AD46" s="27"/>
      <c r="AE46" s="20">
        <f t="shared" si="8"/>
        <v>-115.76470588235316</v>
      </c>
      <c r="AF46" s="425">
        <f t="shared" si="9"/>
        <v>0.95176470588235285</v>
      </c>
      <c r="AG46" s="573"/>
    </row>
    <row r="47" spans="1:33">
      <c r="A47" s="593" t="s">
        <v>2629</v>
      </c>
      <c r="B47" s="39" t="s">
        <v>94</v>
      </c>
      <c r="C47" s="574" t="s">
        <v>530</v>
      </c>
      <c r="D47" s="574"/>
      <c r="E47" s="39">
        <v>26.18</v>
      </c>
      <c r="F47" s="430">
        <v>2882</v>
      </c>
      <c r="G47" s="426">
        <f t="shared" si="27"/>
        <v>75450.759999999995</v>
      </c>
      <c r="H47" s="48" t="s">
        <v>126</v>
      </c>
      <c r="I47" s="428">
        <v>20</v>
      </c>
      <c r="J47" s="43">
        <v>2400</v>
      </c>
      <c r="K47" s="18">
        <f t="shared" si="1"/>
        <v>120</v>
      </c>
      <c r="L47" s="428">
        <v>20</v>
      </c>
      <c r="M47" s="19">
        <f t="shared" si="28"/>
        <v>2305.5999999999985</v>
      </c>
      <c r="N47" s="18">
        <f t="shared" si="3"/>
        <v>115.27999999999993</v>
      </c>
      <c r="O47" s="20">
        <f t="shared" si="4"/>
        <v>0</v>
      </c>
      <c r="P47" s="21">
        <f t="shared" si="5"/>
        <v>-4.7200000000000699</v>
      </c>
      <c r="Q47" s="425">
        <f t="shared" si="6"/>
        <v>0.96066666666666611</v>
      </c>
      <c r="R47" s="573"/>
      <c r="S47" s="49">
        <v>0.67361111111111105</v>
      </c>
      <c r="T47" s="49">
        <v>0.72569444444444442</v>
      </c>
      <c r="U47" s="426">
        <f t="shared" si="30"/>
        <v>6.9999999999999751</v>
      </c>
      <c r="V47" s="429">
        <f t="shared" si="29"/>
        <v>75.000000000000057</v>
      </c>
      <c r="W47" s="25"/>
      <c r="X47" s="25"/>
      <c r="Y47" s="28"/>
      <c r="Z47" s="28"/>
      <c r="AA47" s="568"/>
      <c r="AB47" s="569"/>
      <c r="AC47" s="50"/>
      <c r="AD47" s="27"/>
      <c r="AE47" s="20">
        <f t="shared" si="8"/>
        <v>-94.400000000001455</v>
      </c>
      <c r="AF47" s="425">
        <f t="shared" si="9"/>
        <v>0.96066666666666611</v>
      </c>
      <c r="AG47" s="573"/>
    </row>
    <row r="48" spans="1:33">
      <c r="A48" s="593" t="s">
        <v>2628</v>
      </c>
      <c r="B48" s="42" t="s">
        <v>2631</v>
      </c>
      <c r="C48" s="576"/>
      <c r="D48" s="576"/>
      <c r="E48" s="427"/>
      <c r="F48" s="42"/>
      <c r="G48" s="18"/>
      <c r="H48" s="430"/>
      <c r="I48" s="32">
        <v>17.375</v>
      </c>
      <c r="J48" s="43">
        <v>2200</v>
      </c>
      <c r="K48" s="18">
        <f t="shared" si="1"/>
        <v>126.61870503597122</v>
      </c>
      <c r="L48" s="32">
        <v>17.375</v>
      </c>
      <c r="M48" s="19">
        <f>AVERAGE(M40:M47)</f>
        <v>2102.6076416125384</v>
      </c>
      <c r="N48" s="18">
        <f t="shared" si="3"/>
        <v>121.01338944532596</v>
      </c>
      <c r="O48" s="20">
        <f t="shared" si="4"/>
        <v>0</v>
      </c>
      <c r="P48" s="21">
        <f t="shared" si="5"/>
        <v>-5.6053155906452616</v>
      </c>
      <c r="Q48" s="425">
        <f t="shared" si="6"/>
        <v>0.95573074618751752</v>
      </c>
      <c r="R48" s="573"/>
      <c r="S48" s="49"/>
      <c r="T48" s="49"/>
      <c r="U48" s="18"/>
      <c r="V48" s="429"/>
      <c r="W48" s="18"/>
      <c r="X48" s="18"/>
      <c r="Y48" s="33">
        <f>SUM(Y40:Y47)</f>
        <v>0</v>
      </c>
      <c r="Z48" s="33">
        <f>SUM(Z40:Z47)</f>
        <v>0</v>
      </c>
      <c r="AA48" s="572"/>
      <c r="AB48" s="572"/>
      <c r="AC48" s="33">
        <v>8</v>
      </c>
      <c r="AD48" s="33">
        <f>SUM(AD40:AD47)</f>
        <v>0</v>
      </c>
      <c r="AE48" s="20">
        <f t="shared" si="8"/>
        <v>-97.392358387461627</v>
      </c>
      <c r="AF48" s="425">
        <f t="shared" si="9"/>
        <v>0.95573074618751741</v>
      </c>
      <c r="AG48" s="573"/>
    </row>
    <row r="49" spans="1:33" ht="15.75" customHeight="1">
      <c r="A49" s="589" t="s">
        <v>61</v>
      </c>
      <c r="B49" s="39" t="s">
        <v>104</v>
      </c>
      <c r="C49" s="566" t="s">
        <v>105</v>
      </c>
      <c r="D49" s="567"/>
      <c r="E49" s="39">
        <v>37.880000000000003</v>
      </c>
      <c r="F49" s="430">
        <v>1853</v>
      </c>
      <c r="G49" s="426">
        <f t="shared" ref="G49:G52" si="31">E49*F49</f>
        <v>70191.64</v>
      </c>
      <c r="H49" s="48" t="s">
        <v>126</v>
      </c>
      <c r="I49" s="428">
        <v>13</v>
      </c>
      <c r="J49" s="43">
        <v>2000</v>
      </c>
      <c r="K49" s="18">
        <f t="shared" si="1"/>
        <v>153.84615384615384</v>
      </c>
      <c r="L49" s="428">
        <v>13</v>
      </c>
      <c r="M49" s="19">
        <f t="shared" ref="M49:M52" si="32">F49/V49*60</f>
        <v>1916.8965517241375</v>
      </c>
      <c r="N49" s="19">
        <f t="shared" si="3"/>
        <v>147.45358090185672</v>
      </c>
      <c r="O49" s="20">
        <f t="shared" si="4"/>
        <v>0</v>
      </c>
      <c r="P49" s="21">
        <f t="shared" si="5"/>
        <v>-6.3925729442971146</v>
      </c>
      <c r="Q49" s="425">
        <f t="shared" si="6"/>
        <v>0.95844827586206871</v>
      </c>
      <c r="R49" s="584">
        <f>Q53</f>
        <v>0.95640978271037302</v>
      </c>
      <c r="S49" s="49">
        <v>8.3333333333333329E-2</v>
      </c>
      <c r="T49" s="49">
        <v>0.12361111111111112</v>
      </c>
      <c r="U49" s="30"/>
      <c r="V49" s="429">
        <f t="shared" ref="V49:V52" si="33">(T49-S49)*24*60</f>
        <v>58.000000000000014</v>
      </c>
      <c r="W49" s="25">
        <f>T49</f>
        <v>0.12361111111111112</v>
      </c>
      <c r="X49" s="25">
        <f>S50</f>
        <v>0.14166666666666666</v>
      </c>
      <c r="Y49" s="28"/>
      <c r="Z49" s="28"/>
      <c r="AA49" s="568"/>
      <c r="AB49" s="569"/>
      <c r="AC49" s="50">
        <v>4</v>
      </c>
      <c r="AD49" s="27"/>
      <c r="AE49" s="20">
        <f t="shared" si="8"/>
        <v>-83.103448275862547</v>
      </c>
      <c r="AF49" s="425">
        <f t="shared" si="9"/>
        <v>0.95844827586206871</v>
      </c>
      <c r="AG49" s="584">
        <f>AF53</f>
        <v>0.95640978271037302</v>
      </c>
    </row>
    <row r="50" spans="1:33" ht="15.75" customHeight="1">
      <c r="A50" s="590" t="s">
        <v>2632</v>
      </c>
      <c r="B50" s="39" t="s">
        <v>104</v>
      </c>
      <c r="C50" s="566" t="s">
        <v>106</v>
      </c>
      <c r="D50" s="567"/>
      <c r="E50" s="39">
        <v>35.119999999999997</v>
      </c>
      <c r="F50" s="430">
        <v>6465</v>
      </c>
      <c r="G50" s="426">
        <f t="shared" si="31"/>
        <v>227050.8</v>
      </c>
      <c r="H50" s="48" t="s">
        <v>126</v>
      </c>
      <c r="I50" s="428">
        <v>10</v>
      </c>
      <c r="J50" s="43">
        <v>3000</v>
      </c>
      <c r="K50" s="18">
        <f t="shared" si="1"/>
        <v>300</v>
      </c>
      <c r="L50" s="428">
        <v>10</v>
      </c>
      <c r="M50" s="19">
        <f t="shared" si="32"/>
        <v>2873.333333333333</v>
      </c>
      <c r="N50" s="19">
        <f t="shared" si="3"/>
        <v>287.33333333333331</v>
      </c>
      <c r="O50" s="20">
        <f t="shared" si="4"/>
        <v>0</v>
      </c>
      <c r="P50" s="21">
        <f t="shared" si="5"/>
        <v>-12.666666666666686</v>
      </c>
      <c r="Q50" s="425">
        <f t="shared" si="6"/>
        <v>0.95777777777777773</v>
      </c>
      <c r="R50" s="585"/>
      <c r="S50" s="49">
        <v>0.14166666666666666</v>
      </c>
      <c r="T50" s="49">
        <v>0.23541666666666666</v>
      </c>
      <c r="U50" s="426">
        <f t="shared" ref="U50:U52" si="34">(S50-T49)*24*60</f>
        <v>25.999999999999986</v>
      </c>
      <c r="V50" s="429">
        <f t="shared" si="33"/>
        <v>135</v>
      </c>
      <c r="W50" s="25"/>
      <c r="X50" s="25"/>
      <c r="Y50" s="28"/>
      <c r="Z50" s="28"/>
      <c r="AA50" s="568"/>
      <c r="AB50" s="569"/>
      <c r="AC50" s="50"/>
      <c r="AD50" s="27"/>
      <c r="AE50" s="20">
        <f t="shared" si="8"/>
        <v>-126.66666666666697</v>
      </c>
      <c r="AF50" s="425">
        <f t="shared" si="9"/>
        <v>0.95777777777777773</v>
      </c>
      <c r="AG50" s="585"/>
    </row>
    <row r="51" spans="1:33" ht="15.75" customHeight="1">
      <c r="A51" s="590" t="s">
        <v>2632</v>
      </c>
      <c r="B51" s="39" t="s">
        <v>104</v>
      </c>
      <c r="C51" s="566" t="s">
        <v>107</v>
      </c>
      <c r="D51" s="567"/>
      <c r="E51" s="39">
        <v>21.13</v>
      </c>
      <c r="F51" s="430">
        <v>5939</v>
      </c>
      <c r="G51" s="426">
        <f t="shared" si="31"/>
        <v>125491.06999999999</v>
      </c>
      <c r="H51" s="48" t="s">
        <v>126</v>
      </c>
      <c r="I51" s="428">
        <v>10</v>
      </c>
      <c r="J51" s="43">
        <v>3000</v>
      </c>
      <c r="K51" s="18">
        <f t="shared" si="1"/>
        <v>300</v>
      </c>
      <c r="L51" s="428">
        <v>10</v>
      </c>
      <c r="M51" s="19">
        <f t="shared" si="32"/>
        <v>2873.7096774193551</v>
      </c>
      <c r="N51" s="19">
        <f t="shared" si="3"/>
        <v>287.37096774193549</v>
      </c>
      <c r="O51" s="20">
        <f t="shared" si="4"/>
        <v>0</v>
      </c>
      <c r="P51" s="21">
        <f t="shared" si="5"/>
        <v>-12.629032258064512</v>
      </c>
      <c r="Q51" s="425">
        <f t="shared" si="6"/>
        <v>0.9579032258064516</v>
      </c>
      <c r="R51" s="585"/>
      <c r="S51" s="49">
        <v>0.24097222222222223</v>
      </c>
      <c r="T51" s="49">
        <v>0.32708333333333334</v>
      </c>
      <c r="U51" s="426">
        <f t="shared" si="34"/>
        <v>8.0000000000000107</v>
      </c>
      <c r="V51" s="429">
        <f t="shared" si="33"/>
        <v>123.99999999999999</v>
      </c>
      <c r="W51" s="25"/>
      <c r="X51" s="25"/>
      <c r="Y51" s="28"/>
      <c r="Z51" s="28"/>
      <c r="AA51" s="568"/>
      <c r="AB51" s="569"/>
      <c r="AC51" s="50"/>
      <c r="AD51" s="27"/>
      <c r="AE51" s="20">
        <f t="shared" si="8"/>
        <v>-126.2903225806449</v>
      </c>
      <c r="AF51" s="425">
        <f t="shared" si="9"/>
        <v>0.95790322580645171</v>
      </c>
      <c r="AG51" s="585"/>
    </row>
    <row r="52" spans="1:33" ht="15.75" customHeight="1">
      <c r="A52" s="590" t="s">
        <v>2632</v>
      </c>
      <c r="B52" s="39" t="s">
        <v>104</v>
      </c>
      <c r="C52" s="566" t="s">
        <v>108</v>
      </c>
      <c r="D52" s="567"/>
      <c r="E52" s="39">
        <v>27.17</v>
      </c>
      <c r="F52" s="430">
        <v>8046</v>
      </c>
      <c r="G52" s="426">
        <f t="shared" si="31"/>
        <v>218609.82</v>
      </c>
      <c r="H52" s="48" t="s">
        <v>126</v>
      </c>
      <c r="I52" s="428">
        <v>10</v>
      </c>
      <c r="J52" s="43">
        <v>3000</v>
      </c>
      <c r="K52" s="18">
        <f t="shared" si="1"/>
        <v>300</v>
      </c>
      <c r="L52" s="428">
        <v>10</v>
      </c>
      <c r="M52" s="19">
        <f t="shared" si="32"/>
        <v>2856.5680473372777</v>
      </c>
      <c r="N52" s="19">
        <f t="shared" si="3"/>
        <v>285.65680473372777</v>
      </c>
      <c r="O52" s="20">
        <f t="shared" si="4"/>
        <v>0</v>
      </c>
      <c r="P52" s="21">
        <f t="shared" si="5"/>
        <v>-14.343195266272232</v>
      </c>
      <c r="Q52" s="425">
        <f t="shared" si="6"/>
        <v>0.95218934911242592</v>
      </c>
      <c r="R52" s="585"/>
      <c r="S52" s="49">
        <v>0.33194444444444443</v>
      </c>
      <c r="T52" s="49">
        <v>0.44930555555555557</v>
      </c>
      <c r="U52" s="426">
        <f t="shared" si="34"/>
        <v>6.9999999999999751</v>
      </c>
      <c r="V52" s="429">
        <f t="shared" si="33"/>
        <v>169.00000000000003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-143.43195266272232</v>
      </c>
      <c r="AF52" s="425">
        <f t="shared" si="9"/>
        <v>0.95218934911242592</v>
      </c>
      <c r="AG52" s="585"/>
    </row>
    <row r="53" spans="1:33" ht="15.75" customHeight="1">
      <c r="A53" s="591" t="s">
        <v>2632</v>
      </c>
      <c r="B53" s="39" t="s">
        <v>2633</v>
      </c>
      <c r="C53" s="570"/>
      <c r="D53" s="571"/>
      <c r="E53" s="423"/>
      <c r="F53" s="430"/>
      <c r="G53" s="426"/>
      <c r="H53" s="430"/>
      <c r="I53" s="32">
        <v>10.75</v>
      </c>
      <c r="J53" s="43">
        <v>2750</v>
      </c>
      <c r="K53" s="18">
        <f t="shared" si="1"/>
        <v>255.81395348837211</v>
      </c>
      <c r="L53" s="32">
        <v>10.75</v>
      </c>
      <c r="M53" s="19">
        <f>AVERAGE(M49:M52)</f>
        <v>2630.1269024535259</v>
      </c>
      <c r="N53" s="18">
        <f t="shared" si="3"/>
        <v>244.66296767009544</v>
      </c>
      <c r="O53" s="20">
        <f t="shared" si="4"/>
        <v>0</v>
      </c>
      <c r="P53" s="21">
        <f t="shared" si="5"/>
        <v>-11.150985818276666</v>
      </c>
      <c r="Q53" s="425">
        <f t="shared" si="6"/>
        <v>0.95640978271037302</v>
      </c>
      <c r="R53" s="586"/>
      <c r="S53" s="49"/>
      <c r="T53" s="49"/>
      <c r="U53" s="426"/>
      <c r="V53" s="429"/>
      <c r="W53" s="25"/>
      <c r="X53" s="25"/>
      <c r="Y53" s="33">
        <f>SUM(Y49:Y52)</f>
        <v>0</v>
      </c>
      <c r="Z53" s="33">
        <f>SUM(Z49:Z52)</f>
        <v>0</v>
      </c>
      <c r="AA53" s="587"/>
      <c r="AB53" s="588"/>
      <c r="AC53" s="33">
        <v>4</v>
      </c>
      <c r="AD53" s="33">
        <f>SUM(AD49:AD52)</f>
        <v>0</v>
      </c>
      <c r="AE53" s="20">
        <f t="shared" si="8"/>
        <v>-119.87309754647413</v>
      </c>
      <c r="AF53" s="425">
        <f t="shared" si="9"/>
        <v>0.95640978271037302</v>
      </c>
      <c r="AG53" s="586"/>
    </row>
    <row r="54" spans="1:33" ht="15.75" customHeight="1">
      <c r="A54" s="582" t="s">
        <v>2634</v>
      </c>
      <c r="B54" s="39" t="s">
        <v>79</v>
      </c>
      <c r="C54" s="574" t="s">
        <v>109</v>
      </c>
      <c r="D54" s="574"/>
      <c r="E54" s="39">
        <v>46</v>
      </c>
      <c r="F54" s="45">
        <v>2370</v>
      </c>
      <c r="G54" s="426">
        <f t="shared" ref="G54:G60" si="35">E54*F54</f>
        <v>109020</v>
      </c>
      <c r="H54" s="48" t="s">
        <v>126</v>
      </c>
      <c r="I54" s="428">
        <v>16</v>
      </c>
      <c r="J54" s="43">
        <v>2000</v>
      </c>
      <c r="K54" s="18">
        <f t="shared" si="1"/>
        <v>125</v>
      </c>
      <c r="L54" s="428">
        <v>16</v>
      </c>
      <c r="M54" s="19">
        <f t="shared" ref="M54" si="36">F54/V54*60</f>
        <v>1921.621621621621</v>
      </c>
      <c r="N54" s="19">
        <f t="shared" si="3"/>
        <v>120.10135135135131</v>
      </c>
      <c r="O54" s="20">
        <f t="shared" si="4"/>
        <v>0</v>
      </c>
      <c r="P54" s="21">
        <f t="shared" si="5"/>
        <v>-4.8986486486486882</v>
      </c>
      <c r="Q54" s="425">
        <f t="shared" si="6"/>
        <v>0.96081081081081054</v>
      </c>
      <c r="R54" s="573">
        <f>Q61</f>
        <v>0.96494944901727542</v>
      </c>
      <c r="S54" s="49">
        <v>0.20833333333333334</v>
      </c>
      <c r="T54" s="49">
        <v>0.25972222222222224</v>
      </c>
      <c r="U54" s="30"/>
      <c r="V54" s="429">
        <f t="shared" ref="V54:V60" si="37">(T54-S54)*24*60</f>
        <v>74.000000000000014</v>
      </c>
      <c r="W54" s="30"/>
      <c r="X54" s="30"/>
      <c r="Y54" s="30"/>
      <c r="Z54" s="30"/>
      <c r="AA54" s="575"/>
      <c r="AB54" s="575"/>
      <c r="AC54" s="50">
        <v>7</v>
      </c>
      <c r="AD54" s="27"/>
      <c r="AE54" s="20">
        <f t="shared" si="8"/>
        <v>-78.378378378379011</v>
      </c>
      <c r="AF54" s="425">
        <f t="shared" si="9"/>
        <v>0.96081081081081054</v>
      </c>
      <c r="AG54" s="573">
        <f>AF61</f>
        <v>0.96494944901727531</v>
      </c>
    </row>
    <row r="55" spans="1:33" ht="15.75" customHeight="1">
      <c r="A55" s="582" t="s">
        <v>2635</v>
      </c>
      <c r="B55" s="39" t="s">
        <v>79</v>
      </c>
      <c r="C55" s="574" t="s">
        <v>1233</v>
      </c>
      <c r="D55" s="574"/>
      <c r="E55" s="39">
        <v>46</v>
      </c>
      <c r="F55" s="45">
        <v>3190</v>
      </c>
      <c r="G55" s="426">
        <f t="shared" si="35"/>
        <v>146740</v>
      </c>
      <c r="H55" s="48" t="s">
        <v>126</v>
      </c>
      <c r="I55" s="428">
        <v>16</v>
      </c>
      <c r="J55" s="43">
        <v>2000</v>
      </c>
      <c r="K55" s="18">
        <f t="shared" si="1"/>
        <v>125</v>
      </c>
      <c r="L55" s="428">
        <v>16</v>
      </c>
      <c r="M55" s="19">
        <f>F55/V55*60</f>
        <v>1913.9999999999993</v>
      </c>
      <c r="N55" s="19">
        <f t="shared" si="3"/>
        <v>119.62499999999996</v>
      </c>
      <c r="O55" s="20">
        <f t="shared" si="4"/>
        <v>0</v>
      </c>
      <c r="P55" s="21">
        <f t="shared" si="5"/>
        <v>-5.3750000000000426</v>
      </c>
      <c r="Q55" s="425">
        <f t="shared" si="6"/>
        <v>0.95699999999999963</v>
      </c>
      <c r="R55" s="573"/>
      <c r="S55" s="49">
        <v>0.26527777777777778</v>
      </c>
      <c r="T55" s="49">
        <v>0.33472222222222225</v>
      </c>
      <c r="U55" s="426">
        <f t="shared" ref="U55:U60" si="38">IF(S55=TIME(17,0,0),"",(S55-T54)*24*60)</f>
        <v>7.9999999999999716</v>
      </c>
      <c r="V55" s="429">
        <f t="shared" si="37"/>
        <v>100.00000000000004</v>
      </c>
      <c r="W55" s="25"/>
      <c r="X55" s="25"/>
      <c r="Y55" s="25"/>
      <c r="Z55" s="25"/>
      <c r="AA55" s="575"/>
      <c r="AB55" s="575"/>
      <c r="AC55" s="50"/>
      <c r="AD55" s="27"/>
      <c r="AE55" s="20">
        <f t="shared" si="8"/>
        <v>-86.000000000000682</v>
      </c>
      <c r="AF55" s="425">
        <f t="shared" si="9"/>
        <v>0.95699999999999963</v>
      </c>
      <c r="AG55" s="573"/>
    </row>
    <row r="56" spans="1:33" ht="15.75" customHeight="1">
      <c r="A56" s="582" t="s">
        <v>2636</v>
      </c>
      <c r="B56" s="39" t="s">
        <v>74</v>
      </c>
      <c r="C56" s="566" t="s">
        <v>111</v>
      </c>
      <c r="D56" s="567"/>
      <c r="E56" s="39">
        <v>51.75</v>
      </c>
      <c r="F56" s="45">
        <v>906</v>
      </c>
      <c r="G56" s="426">
        <f t="shared" si="35"/>
        <v>46885.5</v>
      </c>
      <c r="H56" s="48" t="s">
        <v>126</v>
      </c>
      <c r="I56" s="428">
        <v>25</v>
      </c>
      <c r="J56" s="43">
        <v>2000</v>
      </c>
      <c r="K56" s="18">
        <f t="shared" si="1"/>
        <v>80</v>
      </c>
      <c r="L56" s="428">
        <v>25</v>
      </c>
      <c r="M56" s="19">
        <f t="shared" ref="M56:M60" si="39">F56/V56*60</f>
        <v>1941.4285714285729</v>
      </c>
      <c r="N56" s="19">
        <f t="shared" si="3"/>
        <v>77.657142857142915</v>
      </c>
      <c r="O56" s="20">
        <f t="shared" si="4"/>
        <v>0</v>
      </c>
      <c r="P56" s="21">
        <f t="shared" si="5"/>
        <v>-2.3428571428570848</v>
      </c>
      <c r="Q56" s="425">
        <f t="shared" si="6"/>
        <v>0.97071428571428642</v>
      </c>
      <c r="R56" s="573"/>
      <c r="S56" s="49">
        <v>0.33958333333333335</v>
      </c>
      <c r="T56" s="49">
        <v>0.35902777777777778</v>
      </c>
      <c r="U56" s="426">
        <f t="shared" si="38"/>
        <v>6.9999999999999751</v>
      </c>
      <c r="V56" s="429">
        <f t="shared" si="37"/>
        <v>27.999999999999979</v>
      </c>
      <c r="W56" s="25"/>
      <c r="X56" s="25"/>
      <c r="Y56" s="28"/>
      <c r="Z56" s="28"/>
      <c r="AA56" s="575"/>
      <c r="AB56" s="575"/>
      <c r="AC56" s="50"/>
      <c r="AD56" s="27"/>
      <c r="AE56" s="20">
        <f t="shared" si="8"/>
        <v>-58.571428571427077</v>
      </c>
      <c r="AF56" s="425">
        <f t="shared" si="9"/>
        <v>0.97071428571428642</v>
      </c>
      <c r="AG56" s="573"/>
    </row>
    <row r="57" spans="1:33" ht="15.75" customHeight="1">
      <c r="A57" s="582" t="s">
        <v>2637</v>
      </c>
      <c r="B57" s="39" t="s">
        <v>74</v>
      </c>
      <c r="C57" s="419" t="s">
        <v>110</v>
      </c>
      <c r="D57" s="420"/>
      <c r="E57" s="39">
        <v>56.43</v>
      </c>
      <c r="F57" s="45">
        <v>1635</v>
      </c>
      <c r="G57" s="426">
        <f t="shared" si="35"/>
        <v>92263.05</v>
      </c>
      <c r="H57" s="48" t="s">
        <v>126</v>
      </c>
      <c r="I57" s="428">
        <v>22</v>
      </c>
      <c r="J57" s="43">
        <v>2000</v>
      </c>
      <c r="K57" s="18">
        <f t="shared" si="1"/>
        <v>90.909090909090907</v>
      </c>
      <c r="L57" s="428">
        <v>22</v>
      </c>
      <c r="M57" s="19">
        <f t="shared" si="39"/>
        <v>1923.5294117647065</v>
      </c>
      <c r="N57" s="19">
        <f t="shared" si="3"/>
        <v>87.433155080213936</v>
      </c>
      <c r="O57" s="20">
        <f t="shared" si="4"/>
        <v>0</v>
      </c>
      <c r="P57" s="21">
        <f t="shared" si="5"/>
        <v>-3.4759358288769704</v>
      </c>
      <c r="Q57" s="425">
        <f t="shared" si="6"/>
        <v>0.9617647058823533</v>
      </c>
      <c r="R57" s="573"/>
      <c r="S57" s="49">
        <v>0.36249999999999999</v>
      </c>
      <c r="T57" s="49">
        <v>0.39791666666666664</v>
      </c>
      <c r="U57" s="426">
        <f t="shared" si="38"/>
        <v>4.9999999999999822</v>
      </c>
      <c r="V57" s="429">
        <f t="shared" si="37"/>
        <v>50.999999999999979</v>
      </c>
      <c r="W57" s="25"/>
      <c r="X57" s="25"/>
      <c r="Y57" s="28"/>
      <c r="Z57" s="28"/>
      <c r="AA57" s="575"/>
      <c r="AB57" s="575"/>
      <c r="AC57" s="50"/>
      <c r="AD57" s="27"/>
      <c r="AE57" s="20">
        <f t="shared" si="8"/>
        <v>-76.470588235293462</v>
      </c>
      <c r="AF57" s="425">
        <f t="shared" si="9"/>
        <v>0.9617647058823533</v>
      </c>
      <c r="AG57" s="573"/>
    </row>
    <row r="58" spans="1:33" ht="15.75" customHeight="1">
      <c r="A58" s="582" t="s">
        <v>2637</v>
      </c>
      <c r="B58" s="39" t="s">
        <v>74</v>
      </c>
      <c r="C58" s="419" t="s">
        <v>88</v>
      </c>
      <c r="D58" s="420"/>
      <c r="E58" s="39">
        <v>59.04</v>
      </c>
      <c r="F58" s="45">
        <v>3606</v>
      </c>
      <c r="G58" s="426">
        <f t="shared" si="35"/>
        <v>212898.24</v>
      </c>
      <c r="H58" s="48" t="s">
        <v>126</v>
      </c>
      <c r="I58" s="428">
        <v>19</v>
      </c>
      <c r="J58" s="43">
        <v>2000</v>
      </c>
      <c r="K58" s="18">
        <f t="shared" si="1"/>
        <v>105.26315789473684</v>
      </c>
      <c r="L58" s="428">
        <v>19</v>
      </c>
      <c r="M58" s="19">
        <f t="shared" si="39"/>
        <v>1914.6902654867258</v>
      </c>
      <c r="N58" s="19">
        <f t="shared" si="3"/>
        <v>100.77317186772241</v>
      </c>
      <c r="O58" s="20">
        <f t="shared" si="4"/>
        <v>0</v>
      </c>
      <c r="P58" s="21">
        <f t="shared" si="5"/>
        <v>-4.4899860270144245</v>
      </c>
      <c r="Q58" s="425">
        <f t="shared" si="6"/>
        <v>0.95734513274336297</v>
      </c>
      <c r="R58" s="573"/>
      <c r="S58" s="49">
        <v>0.40277777777777773</v>
      </c>
      <c r="T58" s="49">
        <v>0.48124999999999996</v>
      </c>
      <c r="U58" s="426">
        <f t="shared" si="38"/>
        <v>6.9999999999999751</v>
      </c>
      <c r="V58" s="429">
        <f t="shared" si="37"/>
        <v>113</v>
      </c>
      <c r="W58" s="25"/>
      <c r="X58" s="25"/>
      <c r="Y58" s="28"/>
      <c r="Z58" s="28"/>
      <c r="AA58" s="575"/>
      <c r="AB58" s="575"/>
      <c r="AC58" s="50"/>
      <c r="AD58" s="27"/>
      <c r="AE58" s="20">
        <f t="shared" si="8"/>
        <v>-85.309734513274179</v>
      </c>
      <c r="AF58" s="425">
        <f t="shared" si="9"/>
        <v>0.95734513274336286</v>
      </c>
      <c r="AG58" s="573"/>
    </row>
    <row r="59" spans="1:33" ht="15.75" customHeight="1">
      <c r="A59" s="582" t="s">
        <v>2637</v>
      </c>
      <c r="B59" s="39" t="s">
        <v>74</v>
      </c>
      <c r="C59" s="566" t="s">
        <v>113</v>
      </c>
      <c r="D59" s="567"/>
      <c r="E59" s="39">
        <v>55.56</v>
      </c>
      <c r="F59" s="45">
        <v>2342</v>
      </c>
      <c r="G59" s="426">
        <f t="shared" si="35"/>
        <v>130121.52</v>
      </c>
      <c r="H59" s="48" t="s">
        <v>126</v>
      </c>
      <c r="I59" s="428">
        <v>17</v>
      </c>
      <c r="J59" s="43">
        <v>2000</v>
      </c>
      <c r="K59" s="18">
        <f t="shared" si="1"/>
        <v>117.64705882352941</v>
      </c>
      <c r="L59" s="428">
        <v>17</v>
      </c>
      <c r="M59" s="19">
        <f t="shared" si="39"/>
        <v>1924.9315068493136</v>
      </c>
      <c r="N59" s="19">
        <f t="shared" si="3"/>
        <v>113.23126510878315</v>
      </c>
      <c r="O59" s="20">
        <f t="shared" si="4"/>
        <v>0</v>
      </c>
      <c r="P59" s="21">
        <f t="shared" si="5"/>
        <v>-4.4157937147462576</v>
      </c>
      <c r="Q59" s="425">
        <f t="shared" si="6"/>
        <v>0.96246575342465679</v>
      </c>
      <c r="R59" s="573"/>
      <c r="S59" s="49">
        <v>0.70833333333333337</v>
      </c>
      <c r="T59" s="49">
        <v>0.75902777777777786</v>
      </c>
      <c r="U59" s="426" t="str">
        <f t="shared" si="38"/>
        <v/>
      </c>
      <c r="V59" s="429">
        <f t="shared" si="37"/>
        <v>73.000000000000057</v>
      </c>
      <c r="W59" s="25"/>
      <c r="X59" s="25"/>
      <c r="Y59" s="28"/>
      <c r="Z59" s="28"/>
      <c r="AA59" s="568"/>
      <c r="AB59" s="569"/>
      <c r="AC59" s="50"/>
      <c r="AD59" s="27"/>
      <c r="AE59" s="20">
        <f t="shared" si="8"/>
        <v>-75.068493150686436</v>
      </c>
      <c r="AF59" s="425">
        <f t="shared" si="9"/>
        <v>0.96246575342465679</v>
      </c>
      <c r="AG59" s="573"/>
    </row>
    <row r="60" spans="1:33" ht="15.75" customHeight="1">
      <c r="A60" s="582" t="s">
        <v>2637</v>
      </c>
      <c r="B60" s="39" t="s">
        <v>74</v>
      </c>
      <c r="C60" s="566" t="s">
        <v>114</v>
      </c>
      <c r="D60" s="567"/>
      <c r="E60" s="39">
        <v>54.29</v>
      </c>
      <c r="F60" s="45">
        <v>361</v>
      </c>
      <c r="G60" s="426">
        <f t="shared" si="35"/>
        <v>19598.689999999999</v>
      </c>
      <c r="H60" s="48" t="s">
        <v>126</v>
      </c>
      <c r="I60" s="428">
        <v>20</v>
      </c>
      <c r="J60" s="43">
        <v>2000</v>
      </c>
      <c r="K60" s="18">
        <f t="shared" si="1"/>
        <v>100</v>
      </c>
      <c r="L60" s="428">
        <v>20</v>
      </c>
      <c r="M60" s="19">
        <f t="shared" si="39"/>
        <v>1969.0909090909161</v>
      </c>
      <c r="N60" s="19">
        <f t="shared" si="3"/>
        <v>98.454545454545809</v>
      </c>
      <c r="O60" s="20">
        <f t="shared" si="4"/>
        <v>0</v>
      </c>
      <c r="P60" s="21">
        <f t="shared" si="5"/>
        <v>-1.5454545454541915</v>
      </c>
      <c r="Q60" s="425">
        <f t="shared" si="6"/>
        <v>0.98454545454545805</v>
      </c>
      <c r="R60" s="573"/>
      <c r="S60" s="49">
        <v>0.76458333333333339</v>
      </c>
      <c r="T60" s="49">
        <v>0.77222222222222225</v>
      </c>
      <c r="U60" s="426">
        <f t="shared" si="38"/>
        <v>7.9999999999999716</v>
      </c>
      <c r="V60" s="429">
        <f t="shared" si="37"/>
        <v>10.999999999999961</v>
      </c>
      <c r="W60" s="25"/>
      <c r="X60" s="25"/>
      <c r="Y60" s="28"/>
      <c r="Z60" s="28"/>
      <c r="AA60" s="568"/>
      <c r="AB60" s="569"/>
      <c r="AC60" s="50"/>
      <c r="AD60" s="27"/>
      <c r="AE60" s="20">
        <f t="shared" si="8"/>
        <v>-30.909090909083943</v>
      </c>
      <c r="AF60" s="425">
        <f t="shared" si="9"/>
        <v>0.98454545454545805</v>
      </c>
      <c r="AG60" s="573"/>
    </row>
    <row r="61" spans="1:33">
      <c r="A61" s="583" t="s">
        <v>2637</v>
      </c>
      <c r="B61" s="39" t="s">
        <v>2638</v>
      </c>
      <c r="C61" s="576"/>
      <c r="D61" s="576"/>
      <c r="E61" s="427"/>
      <c r="F61" s="42"/>
      <c r="G61" s="18"/>
      <c r="H61" s="430"/>
      <c r="I61" s="32">
        <v>19.285714285714285</v>
      </c>
      <c r="J61" s="43">
        <v>2000</v>
      </c>
      <c r="K61" s="18">
        <f t="shared" si="1"/>
        <v>103.70370370370371</v>
      </c>
      <c r="L61" s="32">
        <v>19.285714285714285</v>
      </c>
      <c r="M61" s="19">
        <f>AVERAGE(M54:M60)</f>
        <v>1929.8988980345507</v>
      </c>
      <c r="N61" s="18">
        <f t="shared" si="3"/>
        <v>100.06883174993968</v>
      </c>
      <c r="O61" s="20">
        <f t="shared" si="4"/>
        <v>0</v>
      </c>
      <c r="P61" s="21">
        <f t="shared" si="5"/>
        <v>-3.6348719537640335</v>
      </c>
      <c r="Q61" s="425">
        <f t="shared" si="6"/>
        <v>0.96494944901727542</v>
      </c>
      <c r="R61" s="573"/>
      <c r="S61" s="49"/>
      <c r="T61" s="49"/>
      <c r="U61" s="426"/>
      <c r="V61" s="429"/>
      <c r="W61" s="18"/>
      <c r="X61" s="18"/>
      <c r="Y61" s="33">
        <f>SUM(Y54:Y60)</f>
        <v>0</v>
      </c>
      <c r="Z61" s="33">
        <f>SUM(Z54:Z60)</f>
        <v>0</v>
      </c>
      <c r="AA61" s="572"/>
      <c r="AB61" s="572"/>
      <c r="AC61" s="33">
        <v>7</v>
      </c>
      <c r="AD61" s="33">
        <f>SUM(AD54:AD60)</f>
        <v>0</v>
      </c>
      <c r="AE61" s="20">
        <f>M61-J61</f>
        <v>-70.101101965449288</v>
      </c>
      <c r="AF61" s="425">
        <f t="shared" si="9"/>
        <v>0.96494944901727531</v>
      </c>
      <c r="AG61" s="573"/>
    </row>
    <row r="62" spans="1:33" ht="15.75" customHeight="1">
      <c r="A62" s="580" t="s">
        <v>2639</v>
      </c>
      <c r="B62" s="430" t="s">
        <v>104</v>
      </c>
      <c r="C62" s="574" t="s">
        <v>115</v>
      </c>
      <c r="D62" s="574"/>
      <c r="E62" s="39">
        <v>34.36</v>
      </c>
      <c r="F62" s="45">
        <v>2553</v>
      </c>
      <c r="G62" s="426">
        <f t="shared" ref="G62:G66" si="40">E62*F62</f>
        <v>87721.08</v>
      </c>
      <c r="H62" s="48" t="s">
        <v>126</v>
      </c>
      <c r="I62" s="428">
        <v>10</v>
      </c>
      <c r="J62" s="43">
        <v>3000</v>
      </c>
      <c r="K62" s="18">
        <f t="shared" si="1"/>
        <v>300</v>
      </c>
      <c r="L62" s="428">
        <v>10</v>
      </c>
      <c r="M62" s="19">
        <f t="shared" ref="M62:M66" si="41">F62/V62*60</f>
        <v>2890.1886792452824</v>
      </c>
      <c r="N62" s="18">
        <f t="shared" si="3"/>
        <v>289.01886792452825</v>
      </c>
      <c r="O62" s="20">
        <f t="shared" si="4"/>
        <v>0</v>
      </c>
      <c r="P62" s="21">
        <f t="shared" si="5"/>
        <v>-10.981132075471749</v>
      </c>
      <c r="Q62" s="425">
        <f t="shared" si="6"/>
        <v>0.96339622641509415</v>
      </c>
      <c r="R62" s="573">
        <f>Q67</f>
        <v>0.96208708753282224</v>
      </c>
      <c r="S62" s="49">
        <v>0.20833333333333334</v>
      </c>
      <c r="T62" s="49">
        <v>0.24513888888888891</v>
      </c>
      <c r="U62" s="426"/>
      <c r="V62" s="429">
        <f t="shared" ref="V62:V66" si="42">(T62-S62)*24*60</f>
        <v>53.000000000000014</v>
      </c>
      <c r="W62" s="30"/>
      <c r="X62" s="30"/>
      <c r="Y62" s="30"/>
      <c r="Z62" s="30"/>
      <c r="AA62" s="575"/>
      <c r="AB62" s="575"/>
      <c r="AC62" s="50">
        <v>5</v>
      </c>
      <c r="AD62" s="27"/>
      <c r="AE62" s="20">
        <f t="shared" ref="AE62:AE76" si="43">M62-J62</f>
        <v>-109.8113207547176</v>
      </c>
      <c r="AF62" s="425">
        <f t="shared" si="9"/>
        <v>0.96339622641509415</v>
      </c>
      <c r="AG62" s="573">
        <f>AF67</f>
        <v>0.96208708753282224</v>
      </c>
    </row>
    <row r="63" spans="1:33" ht="15.75" customHeight="1">
      <c r="A63" s="580" t="s">
        <v>2640</v>
      </c>
      <c r="B63" s="430" t="s">
        <v>104</v>
      </c>
      <c r="C63" s="574" t="s">
        <v>116</v>
      </c>
      <c r="D63" s="574"/>
      <c r="E63" s="39">
        <v>34.36</v>
      </c>
      <c r="F63" s="45">
        <v>1263</v>
      </c>
      <c r="G63" s="426">
        <f t="shared" si="40"/>
        <v>43396.68</v>
      </c>
      <c r="H63" s="48" t="s">
        <v>126</v>
      </c>
      <c r="I63" s="428">
        <v>10</v>
      </c>
      <c r="J63" s="43">
        <v>3000</v>
      </c>
      <c r="K63" s="18">
        <f t="shared" si="1"/>
        <v>300</v>
      </c>
      <c r="L63" s="428">
        <v>10</v>
      </c>
      <c r="M63" s="19">
        <f t="shared" si="41"/>
        <v>2914.6153846153861</v>
      </c>
      <c r="N63" s="18">
        <f t="shared" si="3"/>
        <v>291.46153846153862</v>
      </c>
      <c r="O63" s="20">
        <f t="shared" si="4"/>
        <v>0</v>
      </c>
      <c r="P63" s="21">
        <f t="shared" si="5"/>
        <v>-8.5384615384613767</v>
      </c>
      <c r="Q63" s="425">
        <f t="shared" si="6"/>
        <v>0.97153846153846213</v>
      </c>
      <c r="R63" s="573"/>
      <c r="S63" s="49">
        <v>0.24861111111111112</v>
      </c>
      <c r="T63" s="49">
        <v>0.26666666666666666</v>
      </c>
      <c r="U63" s="426">
        <f t="shared" ref="U63:U66" si="44">(S63-T62)*24*60</f>
        <v>4.9999999999999822</v>
      </c>
      <c r="V63" s="429">
        <f t="shared" si="42"/>
        <v>25.999999999999986</v>
      </c>
      <c r="W63" s="426"/>
      <c r="X63" s="426"/>
      <c r="Y63" s="426"/>
      <c r="Z63" s="426"/>
      <c r="AA63" s="575"/>
      <c r="AB63" s="575"/>
      <c r="AC63" s="50"/>
      <c r="AD63" s="27"/>
      <c r="AE63" s="20">
        <f t="shared" si="43"/>
        <v>-85.38461538461388</v>
      </c>
      <c r="AF63" s="425">
        <f t="shared" si="9"/>
        <v>0.97153846153846202</v>
      </c>
      <c r="AG63" s="573"/>
    </row>
    <row r="64" spans="1:33" ht="15.75" customHeight="1">
      <c r="A64" s="580" t="s">
        <v>2641</v>
      </c>
      <c r="B64" s="430" t="s">
        <v>104</v>
      </c>
      <c r="C64" s="574" t="s">
        <v>117</v>
      </c>
      <c r="D64" s="574"/>
      <c r="E64" s="39">
        <v>26.78</v>
      </c>
      <c r="F64" s="45">
        <v>2821</v>
      </c>
      <c r="G64" s="426">
        <f t="shared" si="40"/>
        <v>75546.38</v>
      </c>
      <c r="H64" s="48" t="s">
        <v>126</v>
      </c>
      <c r="I64" s="428">
        <v>10</v>
      </c>
      <c r="J64" s="43">
        <v>3000</v>
      </c>
      <c r="K64" s="18">
        <f t="shared" si="1"/>
        <v>300</v>
      </c>
      <c r="L64" s="428">
        <v>10</v>
      </c>
      <c r="M64" s="19">
        <f t="shared" si="41"/>
        <v>2868.8135593220327</v>
      </c>
      <c r="N64" s="18">
        <f t="shared" si="3"/>
        <v>286.88135593220329</v>
      </c>
      <c r="O64" s="20">
        <f t="shared" si="4"/>
        <v>0</v>
      </c>
      <c r="P64" s="21">
        <f t="shared" si="5"/>
        <v>-13.118644067796708</v>
      </c>
      <c r="Q64" s="425">
        <f t="shared" si="6"/>
        <v>0.95627118644067766</v>
      </c>
      <c r="R64" s="573"/>
      <c r="S64" s="49">
        <v>0.2722222222222222</v>
      </c>
      <c r="T64" s="49">
        <v>0.31319444444444444</v>
      </c>
      <c r="U64" s="426">
        <f t="shared" si="44"/>
        <v>7.9999999999999716</v>
      </c>
      <c r="V64" s="429">
        <f t="shared" si="42"/>
        <v>59.000000000000028</v>
      </c>
      <c r="W64" s="426"/>
      <c r="X64" s="426"/>
      <c r="Y64" s="426"/>
      <c r="Z64" s="426"/>
      <c r="AA64" s="575"/>
      <c r="AB64" s="575"/>
      <c r="AC64" s="50"/>
      <c r="AD64" s="27"/>
      <c r="AE64" s="20">
        <f t="shared" si="43"/>
        <v>-131.18644067796731</v>
      </c>
      <c r="AF64" s="425">
        <f t="shared" si="9"/>
        <v>0.95627118644067755</v>
      </c>
      <c r="AG64" s="573"/>
    </row>
    <row r="65" spans="1:33" ht="15.75" customHeight="1">
      <c r="A65" s="580" t="s">
        <v>2642</v>
      </c>
      <c r="B65" s="430" t="s">
        <v>104</v>
      </c>
      <c r="C65" s="574" t="s">
        <v>119</v>
      </c>
      <c r="D65" s="574"/>
      <c r="E65" s="39">
        <v>35.869999999999997</v>
      </c>
      <c r="F65" s="45">
        <v>4524</v>
      </c>
      <c r="G65" s="426">
        <f t="shared" si="40"/>
        <v>162275.87999999998</v>
      </c>
      <c r="H65" s="48" t="s">
        <v>126</v>
      </c>
      <c r="I65" s="428">
        <v>9</v>
      </c>
      <c r="J65" s="43">
        <v>3000</v>
      </c>
      <c r="K65" s="18">
        <f t="shared" si="1"/>
        <v>333.33333333333331</v>
      </c>
      <c r="L65" s="428">
        <v>9</v>
      </c>
      <c r="M65" s="19">
        <f t="shared" si="41"/>
        <v>2857.2631578947371</v>
      </c>
      <c r="N65" s="18">
        <f t="shared" si="3"/>
        <v>317.47368421052636</v>
      </c>
      <c r="O65" s="20">
        <f t="shared" si="4"/>
        <v>0</v>
      </c>
      <c r="P65" s="21">
        <f t="shared" si="5"/>
        <v>-15.859649122806957</v>
      </c>
      <c r="Q65" s="425">
        <f t="shared" si="6"/>
        <v>0.95242105263157917</v>
      </c>
      <c r="R65" s="573"/>
      <c r="S65" s="49">
        <v>0.31736111111111109</v>
      </c>
      <c r="T65" s="49">
        <v>0.3833333333333333</v>
      </c>
      <c r="U65" s="426">
        <f t="shared" si="44"/>
        <v>5.9999999999999787</v>
      </c>
      <c r="V65" s="429">
        <f t="shared" si="42"/>
        <v>94.999999999999986</v>
      </c>
      <c r="W65" s="426"/>
      <c r="X65" s="426"/>
      <c r="Y65" s="426"/>
      <c r="Z65" s="426"/>
      <c r="AA65" s="575"/>
      <c r="AB65" s="575"/>
      <c r="AC65" s="50"/>
      <c r="AD65" s="27"/>
      <c r="AE65" s="20">
        <f t="shared" si="43"/>
        <v>-142.73684210526289</v>
      </c>
      <c r="AF65" s="425">
        <f t="shared" si="9"/>
        <v>0.95242105263157906</v>
      </c>
      <c r="AG65" s="573"/>
    </row>
    <row r="66" spans="1:33">
      <c r="A66" s="581" t="s">
        <v>2643</v>
      </c>
      <c r="B66" s="430" t="s">
        <v>104</v>
      </c>
      <c r="C66" s="574" t="s">
        <v>120</v>
      </c>
      <c r="D66" s="574"/>
      <c r="E66" s="39">
        <v>34.35</v>
      </c>
      <c r="F66" s="45">
        <v>2272</v>
      </c>
      <c r="G66" s="426">
        <f t="shared" si="40"/>
        <v>78043.199999999997</v>
      </c>
      <c r="H66" s="48" t="s">
        <v>126</v>
      </c>
      <c r="I66" s="428">
        <v>8</v>
      </c>
      <c r="J66" s="43">
        <v>3000</v>
      </c>
      <c r="K66" s="18">
        <f t="shared" si="1"/>
        <v>375</v>
      </c>
      <c r="L66" s="428">
        <v>8</v>
      </c>
      <c r="M66" s="19">
        <f t="shared" si="41"/>
        <v>2900.4255319148942</v>
      </c>
      <c r="N66" s="18">
        <f t="shared" si="3"/>
        <v>362.55319148936178</v>
      </c>
      <c r="O66" s="20">
        <f t="shared" si="4"/>
        <v>0</v>
      </c>
      <c r="P66" s="21">
        <f t="shared" si="5"/>
        <v>-12.44680851063822</v>
      </c>
      <c r="Q66" s="425">
        <f t="shared" si="6"/>
        <v>0.96680851063829809</v>
      </c>
      <c r="R66" s="573"/>
      <c r="S66" s="49">
        <v>0.38680555555555551</v>
      </c>
      <c r="T66" s="49">
        <v>0.4194444444444444</v>
      </c>
      <c r="U66" s="426">
        <f t="shared" si="44"/>
        <v>4.9999999999999822</v>
      </c>
      <c r="V66" s="429">
        <f t="shared" si="42"/>
        <v>46.999999999999993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-99.574468085105764</v>
      </c>
      <c r="AF66" s="425">
        <f t="shared" si="9"/>
        <v>0.96680851063829809</v>
      </c>
      <c r="AG66" s="573"/>
    </row>
    <row r="67" spans="1:33">
      <c r="A67" s="581" t="s">
        <v>2644</v>
      </c>
      <c r="B67" s="39" t="s">
        <v>2645</v>
      </c>
      <c r="C67" s="576"/>
      <c r="D67" s="576"/>
      <c r="E67" s="427"/>
      <c r="F67" s="42"/>
      <c r="G67" s="18"/>
      <c r="H67" s="430"/>
      <c r="I67" s="32">
        <v>9.4</v>
      </c>
      <c r="J67" s="43">
        <v>3000</v>
      </c>
      <c r="K67" s="18">
        <f t="shared" si="1"/>
        <v>319.14893617021278</v>
      </c>
      <c r="L67" s="32">
        <v>9.4</v>
      </c>
      <c r="M67" s="19">
        <f>AVERAGE(M62:M66)</f>
        <v>2886.2612625984666</v>
      </c>
      <c r="N67" s="18">
        <f t="shared" si="3"/>
        <v>307.04907048919858</v>
      </c>
      <c r="O67" s="20">
        <f t="shared" si="4"/>
        <v>0</v>
      </c>
      <c r="P67" s="21">
        <f t="shared" si="5"/>
        <v>-12.099865681014194</v>
      </c>
      <c r="Q67" s="425">
        <f t="shared" si="6"/>
        <v>0.96208708753282224</v>
      </c>
      <c r="R67" s="573"/>
      <c r="S67" s="49"/>
      <c r="T67" s="49"/>
      <c r="U67" s="18"/>
      <c r="V67" s="429"/>
      <c r="W67" s="18"/>
      <c r="X67" s="18"/>
      <c r="Y67" s="33">
        <f>SUM(Y62:Y66)</f>
        <v>0</v>
      </c>
      <c r="Z67" s="33">
        <f>SUM(Z62:Z66)</f>
        <v>0</v>
      </c>
      <c r="AA67" s="572"/>
      <c r="AB67" s="572"/>
      <c r="AC67" s="33">
        <v>5</v>
      </c>
      <c r="AD67" s="33">
        <f>SUM(AD62:AD66)</f>
        <v>0</v>
      </c>
      <c r="AE67" s="20">
        <f t="shared" si="43"/>
        <v>-113.7387374015334</v>
      </c>
      <c r="AF67" s="425">
        <f t="shared" si="9"/>
        <v>0.96208708753282224</v>
      </c>
      <c r="AG67" s="573"/>
    </row>
    <row r="68" spans="1:33" ht="15.75" customHeight="1">
      <c r="A68" s="577" t="s">
        <v>2646</v>
      </c>
      <c r="B68" s="430" t="s">
        <v>94</v>
      </c>
      <c r="C68" s="574" t="s">
        <v>124</v>
      </c>
      <c r="D68" s="574"/>
      <c r="E68" s="39">
        <v>22.69</v>
      </c>
      <c r="F68" s="430">
        <v>4393</v>
      </c>
      <c r="G68" s="426">
        <f t="shared" ref="G68:G75" si="45">E68*F68</f>
        <v>99677.170000000013</v>
      </c>
      <c r="H68" s="48" t="s">
        <v>126</v>
      </c>
      <c r="I68" s="428">
        <v>15</v>
      </c>
      <c r="J68" s="43">
        <v>2400</v>
      </c>
      <c r="K68" s="18">
        <f t="shared" si="1"/>
        <v>160</v>
      </c>
      <c r="L68" s="428">
        <v>15</v>
      </c>
      <c r="M68" s="19">
        <f t="shared" ref="M68:M75" si="46">F68/V68*60</f>
        <v>2291.9999999999995</v>
      </c>
      <c r="N68" s="18">
        <f t="shared" si="3"/>
        <v>152.79999999999998</v>
      </c>
      <c r="O68" s="20">
        <f t="shared" si="4"/>
        <v>0</v>
      </c>
      <c r="P68" s="21">
        <f t="shared" si="5"/>
        <v>-7.2000000000000171</v>
      </c>
      <c r="Q68" s="425">
        <f t="shared" si="6"/>
        <v>0.95499999999999985</v>
      </c>
      <c r="R68" s="573">
        <f>Q76</f>
        <v>0.95586984178256384</v>
      </c>
      <c r="S68" s="49">
        <v>8.3333333333333329E-2</v>
      </c>
      <c r="T68" s="49">
        <v>0.16319444444444445</v>
      </c>
      <c r="U68" s="30"/>
      <c r="V68" s="429">
        <f t="shared" ref="V68:V75" si="47">(T68-S68)*24*60</f>
        <v>115.00000000000001</v>
      </c>
      <c r="W68" s="25">
        <f>T68</f>
        <v>0.16319444444444445</v>
      </c>
      <c r="X68" s="25">
        <f>S69</f>
        <v>0.18124999999999999</v>
      </c>
      <c r="Y68" s="25"/>
      <c r="Z68" s="25"/>
      <c r="AA68" s="575"/>
      <c r="AB68" s="575"/>
      <c r="AC68" s="50">
        <v>8</v>
      </c>
      <c r="AD68" s="27"/>
      <c r="AE68" s="20">
        <f t="shared" si="43"/>
        <v>-108.00000000000045</v>
      </c>
      <c r="AF68" s="425">
        <f t="shared" si="9"/>
        <v>0.95499999999999985</v>
      </c>
      <c r="AG68" s="573">
        <f>AF76</f>
        <v>0.95586984178256384</v>
      </c>
    </row>
    <row r="69" spans="1:33" ht="15.75" customHeight="1">
      <c r="A69" s="578" t="s">
        <v>2647</v>
      </c>
      <c r="B69" s="430" t="s">
        <v>94</v>
      </c>
      <c r="C69" s="574" t="s">
        <v>125</v>
      </c>
      <c r="D69" s="574"/>
      <c r="E69" s="39">
        <v>19.02</v>
      </c>
      <c r="F69" s="430">
        <v>6200</v>
      </c>
      <c r="G69" s="426">
        <f t="shared" si="45"/>
        <v>117924</v>
      </c>
      <c r="H69" s="48">
        <v>2</v>
      </c>
      <c r="I69" s="428">
        <v>14</v>
      </c>
      <c r="J69" s="43">
        <v>2400</v>
      </c>
      <c r="K69" s="18">
        <f t="shared" ref="K69:K76" si="48">J69/I69</f>
        <v>171.42857142857142</v>
      </c>
      <c r="L69" s="428">
        <v>14</v>
      </c>
      <c r="M69" s="19">
        <f t="shared" si="46"/>
        <v>2296.2962962962965</v>
      </c>
      <c r="N69" s="18">
        <f t="shared" ref="N69:N76" si="49">M69/L69</f>
        <v>164.02116402116403</v>
      </c>
      <c r="O69" s="20">
        <f t="shared" ref="O69:O76" si="50">L69-I69</f>
        <v>0</v>
      </c>
      <c r="P69" s="21">
        <f t="shared" ref="P69:P76" si="51">N69-K69</f>
        <v>-7.4074074074073906</v>
      </c>
      <c r="Q69" s="425">
        <f t="shared" ref="Q69:Q76" si="52">N69/K69</f>
        <v>0.95679012345679026</v>
      </c>
      <c r="R69" s="573"/>
      <c r="S69" s="49">
        <v>0.18124999999999999</v>
      </c>
      <c r="T69" s="49">
        <v>0.29375000000000001</v>
      </c>
      <c r="U69" s="426">
        <f t="shared" ref="U69:U75" si="53">(S69-T68)*24*60</f>
        <v>25.999999999999986</v>
      </c>
      <c r="V69" s="429">
        <f t="shared" si="47"/>
        <v>162</v>
      </c>
      <c r="W69" s="25"/>
      <c r="X69" s="25"/>
      <c r="Y69" s="25"/>
      <c r="Z69" s="25"/>
      <c r="AA69" s="575"/>
      <c r="AB69" s="575"/>
      <c r="AC69" s="50"/>
      <c r="AD69" s="27"/>
      <c r="AE69" s="20">
        <f t="shared" si="43"/>
        <v>-103.70370370370347</v>
      </c>
      <c r="AF69" s="425">
        <f t="shared" ref="AF69:AF76" si="54">M69/J69</f>
        <v>0.95679012345679026</v>
      </c>
      <c r="AG69" s="573"/>
    </row>
    <row r="70" spans="1:33" ht="15.75" customHeight="1">
      <c r="A70" s="578" t="s">
        <v>2648</v>
      </c>
      <c r="B70" s="430" t="s">
        <v>94</v>
      </c>
      <c r="C70" s="574" t="s">
        <v>99</v>
      </c>
      <c r="D70" s="574"/>
      <c r="E70" s="39">
        <v>20.36</v>
      </c>
      <c r="F70" s="430">
        <v>3000</v>
      </c>
      <c r="G70" s="426">
        <f t="shared" si="45"/>
        <v>61080</v>
      </c>
      <c r="H70" s="48">
        <v>2</v>
      </c>
      <c r="I70" s="428">
        <v>17</v>
      </c>
      <c r="J70" s="43">
        <v>2400</v>
      </c>
      <c r="K70" s="18">
        <f t="shared" si="48"/>
        <v>141.1764705882353</v>
      </c>
      <c r="L70" s="428">
        <v>17</v>
      </c>
      <c r="M70" s="19">
        <f t="shared" si="46"/>
        <v>2307.692307692309</v>
      </c>
      <c r="N70" s="18">
        <f t="shared" si="49"/>
        <v>135.74660633484172</v>
      </c>
      <c r="O70" s="20">
        <f t="shared" si="50"/>
        <v>0</v>
      </c>
      <c r="P70" s="21">
        <f t="shared" si="51"/>
        <v>-5.429864253393589</v>
      </c>
      <c r="Q70" s="425">
        <f t="shared" si="52"/>
        <v>0.96153846153846212</v>
      </c>
      <c r="R70" s="573"/>
      <c r="S70" s="49">
        <v>0.29791666666666666</v>
      </c>
      <c r="T70" s="49">
        <v>0.3520833333333333</v>
      </c>
      <c r="U70" s="426">
        <f t="shared" si="53"/>
        <v>5.9999999999999787</v>
      </c>
      <c r="V70" s="429">
        <f t="shared" si="47"/>
        <v>77.999999999999957</v>
      </c>
      <c r="W70" s="25"/>
      <c r="X70" s="25"/>
      <c r="Y70" s="25"/>
      <c r="Z70" s="25"/>
      <c r="AA70" s="575"/>
      <c r="AB70" s="575"/>
      <c r="AC70" s="50"/>
      <c r="AD70" s="27"/>
      <c r="AE70" s="20">
        <f t="shared" si="43"/>
        <v>-92.307692307691013</v>
      </c>
      <c r="AF70" s="425">
        <f t="shared" si="54"/>
        <v>0.96153846153846212</v>
      </c>
      <c r="AG70" s="573"/>
    </row>
    <row r="71" spans="1:33" ht="15.75" customHeight="1">
      <c r="A71" s="578" t="s">
        <v>2649</v>
      </c>
      <c r="B71" s="430" t="s">
        <v>94</v>
      </c>
      <c r="C71" s="574" t="s">
        <v>123</v>
      </c>
      <c r="D71" s="574"/>
      <c r="E71" s="39">
        <v>20.21</v>
      </c>
      <c r="F71" s="430">
        <v>3556</v>
      </c>
      <c r="G71" s="426">
        <f t="shared" si="45"/>
        <v>71866.760000000009</v>
      </c>
      <c r="H71" s="48" t="s">
        <v>126</v>
      </c>
      <c r="I71" s="428">
        <v>15</v>
      </c>
      <c r="J71" s="43">
        <v>2400</v>
      </c>
      <c r="K71" s="18">
        <f t="shared" si="48"/>
        <v>160</v>
      </c>
      <c r="L71" s="428">
        <v>15</v>
      </c>
      <c r="M71" s="19">
        <f t="shared" si="46"/>
        <v>2294.1935483870971</v>
      </c>
      <c r="N71" s="18">
        <f t="shared" si="49"/>
        <v>152.94623655913981</v>
      </c>
      <c r="O71" s="20">
        <f t="shared" si="50"/>
        <v>0</v>
      </c>
      <c r="P71" s="21">
        <f t="shared" si="51"/>
        <v>-7.0537634408601946</v>
      </c>
      <c r="Q71" s="425">
        <f t="shared" si="52"/>
        <v>0.95591397849462378</v>
      </c>
      <c r="R71" s="573"/>
      <c r="S71" s="49">
        <v>0.35763888888888884</v>
      </c>
      <c r="T71" s="49">
        <v>0.42222222222222217</v>
      </c>
      <c r="U71" s="426">
        <f t="shared" si="53"/>
        <v>7.9999999999999716</v>
      </c>
      <c r="V71" s="429">
        <f t="shared" si="47"/>
        <v>92.999999999999986</v>
      </c>
      <c r="W71" s="25"/>
      <c r="X71" s="25"/>
      <c r="Y71" s="25"/>
      <c r="Z71" s="25"/>
      <c r="AA71" s="575"/>
      <c r="AB71" s="575"/>
      <c r="AC71" s="50"/>
      <c r="AD71" s="27"/>
      <c r="AE71" s="20">
        <f t="shared" si="43"/>
        <v>-105.80645161290295</v>
      </c>
      <c r="AF71" s="425">
        <f t="shared" si="54"/>
        <v>0.95591397849462378</v>
      </c>
      <c r="AG71" s="573"/>
    </row>
    <row r="72" spans="1:33" ht="15.75" customHeight="1">
      <c r="A72" s="578" t="s">
        <v>2650</v>
      </c>
      <c r="B72" s="430" t="s">
        <v>94</v>
      </c>
      <c r="C72" s="574" t="s">
        <v>1954</v>
      </c>
      <c r="D72" s="574"/>
      <c r="E72" s="39">
        <v>20.21</v>
      </c>
      <c r="F72" s="430">
        <v>2600</v>
      </c>
      <c r="G72" s="426">
        <f t="shared" si="45"/>
        <v>52546</v>
      </c>
      <c r="H72" s="48">
        <v>2</v>
      </c>
      <c r="I72" s="428">
        <v>18</v>
      </c>
      <c r="J72" s="43">
        <v>2400</v>
      </c>
      <c r="K72" s="18">
        <f t="shared" si="48"/>
        <v>133.33333333333334</v>
      </c>
      <c r="L72" s="428">
        <v>18</v>
      </c>
      <c r="M72" s="19">
        <f t="shared" si="46"/>
        <v>2294.1176470588234</v>
      </c>
      <c r="N72" s="18">
        <f t="shared" si="49"/>
        <v>127.45098039215685</v>
      </c>
      <c r="O72" s="20">
        <f t="shared" si="50"/>
        <v>0</v>
      </c>
      <c r="P72" s="21">
        <f t="shared" si="51"/>
        <v>-5.8823529411764923</v>
      </c>
      <c r="Q72" s="425">
        <f t="shared" si="52"/>
        <v>0.95588235294117629</v>
      </c>
      <c r="R72" s="573"/>
      <c r="S72" s="49">
        <v>0.42708333333333326</v>
      </c>
      <c r="T72" s="49">
        <v>0.47430555555555548</v>
      </c>
      <c r="U72" s="426">
        <f t="shared" si="53"/>
        <v>6.9999999999999751</v>
      </c>
      <c r="V72" s="429">
        <f t="shared" si="47"/>
        <v>68</v>
      </c>
      <c r="W72" s="25">
        <f>T72</f>
        <v>0.47430555555555548</v>
      </c>
      <c r="X72" s="25">
        <f>S73</f>
        <v>0.51388888888888873</v>
      </c>
      <c r="Y72" s="25"/>
      <c r="Z72" s="25"/>
      <c r="AA72" s="575"/>
      <c r="AB72" s="575"/>
      <c r="AC72" s="50"/>
      <c r="AD72" s="27"/>
      <c r="AE72" s="20">
        <f t="shared" si="43"/>
        <v>-105.88235294117658</v>
      </c>
      <c r="AF72" s="425">
        <f t="shared" si="54"/>
        <v>0.95588235294117641</v>
      </c>
      <c r="AG72" s="573"/>
    </row>
    <row r="73" spans="1:33" ht="15.75" customHeight="1">
      <c r="A73" s="578" t="s">
        <v>2651</v>
      </c>
      <c r="B73" s="430" t="s">
        <v>94</v>
      </c>
      <c r="C73" s="574" t="s">
        <v>125</v>
      </c>
      <c r="D73" s="574"/>
      <c r="E73" s="39">
        <v>19.02</v>
      </c>
      <c r="F73" s="430">
        <v>4912</v>
      </c>
      <c r="G73" s="426">
        <f t="shared" si="45"/>
        <v>93426.239999999991</v>
      </c>
      <c r="H73" s="48" t="s">
        <v>126</v>
      </c>
      <c r="I73" s="428">
        <v>14</v>
      </c>
      <c r="J73" s="43">
        <v>2400</v>
      </c>
      <c r="K73" s="18">
        <f t="shared" si="48"/>
        <v>171.42857142857142</v>
      </c>
      <c r="L73" s="428">
        <v>14</v>
      </c>
      <c r="M73" s="19">
        <f t="shared" si="46"/>
        <v>2284.6511627906971</v>
      </c>
      <c r="N73" s="18">
        <f t="shared" si="49"/>
        <v>163.18936877076408</v>
      </c>
      <c r="O73" s="20">
        <f t="shared" si="50"/>
        <v>0</v>
      </c>
      <c r="P73" s="21">
        <f t="shared" si="51"/>
        <v>-8.2392026578073398</v>
      </c>
      <c r="Q73" s="425">
        <f t="shared" si="52"/>
        <v>0.95193798449612388</v>
      </c>
      <c r="R73" s="573"/>
      <c r="S73" s="49">
        <v>0.51388888888888873</v>
      </c>
      <c r="T73" s="49">
        <v>0.60347222222222208</v>
      </c>
      <c r="U73" s="426">
        <f t="shared" si="53"/>
        <v>56.999999999999879</v>
      </c>
      <c r="V73" s="429">
        <f t="shared" si="47"/>
        <v>129.00000000000003</v>
      </c>
      <c r="W73" s="25"/>
      <c r="X73" s="25"/>
      <c r="Y73" s="25"/>
      <c r="Z73" s="25"/>
      <c r="AA73" s="575"/>
      <c r="AB73" s="575"/>
      <c r="AC73" s="50"/>
      <c r="AD73" s="27"/>
      <c r="AE73" s="20">
        <f t="shared" si="43"/>
        <v>-115.34883720930293</v>
      </c>
      <c r="AF73" s="425">
        <f t="shared" si="54"/>
        <v>0.95193798449612377</v>
      </c>
      <c r="AG73" s="573"/>
    </row>
    <row r="74" spans="1:33" ht="15.75" customHeight="1">
      <c r="A74" s="578" t="s">
        <v>2652</v>
      </c>
      <c r="B74" s="430" t="s">
        <v>94</v>
      </c>
      <c r="C74" s="566" t="s">
        <v>1954</v>
      </c>
      <c r="D74" s="567"/>
      <c r="E74" s="39">
        <v>20.21</v>
      </c>
      <c r="F74" s="430">
        <v>1955</v>
      </c>
      <c r="G74" s="426">
        <f t="shared" si="45"/>
        <v>39510.550000000003</v>
      </c>
      <c r="H74" s="48" t="s">
        <v>126</v>
      </c>
      <c r="I74" s="428">
        <v>18</v>
      </c>
      <c r="J74" s="43">
        <v>2400</v>
      </c>
      <c r="K74" s="18">
        <f t="shared" si="48"/>
        <v>133.33333333333334</v>
      </c>
      <c r="L74" s="428">
        <v>18</v>
      </c>
      <c r="M74" s="19">
        <f t="shared" si="46"/>
        <v>2300.0000000000009</v>
      </c>
      <c r="N74" s="18">
        <f t="shared" si="49"/>
        <v>127.77777777777783</v>
      </c>
      <c r="O74" s="20">
        <f t="shared" si="50"/>
        <v>0</v>
      </c>
      <c r="P74" s="21">
        <f t="shared" si="51"/>
        <v>-5.5555555555555145</v>
      </c>
      <c r="Q74" s="425">
        <f t="shared" si="52"/>
        <v>0.95833333333333359</v>
      </c>
      <c r="R74" s="573"/>
      <c r="S74" s="49">
        <v>0.60833333333333317</v>
      </c>
      <c r="T74" s="49">
        <v>0.64374999999999982</v>
      </c>
      <c r="U74" s="426">
        <f t="shared" si="53"/>
        <v>6.9999999999999751</v>
      </c>
      <c r="V74" s="429">
        <f t="shared" si="47"/>
        <v>50.999999999999979</v>
      </c>
      <c r="W74" s="25"/>
      <c r="X74" s="25"/>
      <c r="Y74" s="28"/>
      <c r="Z74" s="28"/>
      <c r="AA74" s="568"/>
      <c r="AB74" s="569"/>
      <c r="AC74" s="50"/>
      <c r="AD74" s="27"/>
      <c r="AE74" s="20">
        <f t="shared" si="43"/>
        <v>-99.999999999999091</v>
      </c>
      <c r="AF74" s="425">
        <f t="shared" si="54"/>
        <v>0.9583333333333337</v>
      </c>
      <c r="AG74" s="573"/>
    </row>
    <row r="75" spans="1:33" ht="15.75" customHeight="1">
      <c r="A75" s="578" t="s">
        <v>2653</v>
      </c>
      <c r="B75" s="430" t="s">
        <v>94</v>
      </c>
      <c r="C75" s="566" t="s">
        <v>99</v>
      </c>
      <c r="D75" s="567"/>
      <c r="E75" s="39">
        <v>20.36</v>
      </c>
      <c r="F75" s="430">
        <v>2436</v>
      </c>
      <c r="G75" s="426">
        <f t="shared" si="45"/>
        <v>49596.959999999999</v>
      </c>
      <c r="H75" s="48" t="s">
        <v>126</v>
      </c>
      <c r="I75" s="428">
        <v>17</v>
      </c>
      <c r="J75" s="43">
        <v>2400</v>
      </c>
      <c r="K75" s="18">
        <f t="shared" si="48"/>
        <v>141.1764705882353</v>
      </c>
      <c r="L75" s="428">
        <v>17</v>
      </c>
      <c r="M75" s="19">
        <f t="shared" si="46"/>
        <v>2283.7500000000027</v>
      </c>
      <c r="N75" s="18">
        <f t="shared" si="49"/>
        <v>134.33823529411779</v>
      </c>
      <c r="O75" s="20">
        <f t="shared" si="50"/>
        <v>0</v>
      </c>
      <c r="P75" s="21">
        <f t="shared" si="51"/>
        <v>-6.83823529411751</v>
      </c>
      <c r="Q75" s="425">
        <f t="shared" si="52"/>
        <v>0.95156250000000098</v>
      </c>
      <c r="R75" s="573"/>
      <c r="S75" s="49">
        <v>0.64930555555555536</v>
      </c>
      <c r="T75" s="49">
        <v>0.69374999999999976</v>
      </c>
      <c r="U75" s="426">
        <f t="shared" si="53"/>
        <v>7.9999999999999716</v>
      </c>
      <c r="V75" s="429">
        <f t="shared" si="47"/>
        <v>63.999999999999929</v>
      </c>
      <c r="W75" s="25"/>
      <c r="X75" s="25"/>
      <c r="Y75" s="28"/>
      <c r="Z75" s="28"/>
      <c r="AA75" s="568"/>
      <c r="AB75" s="569"/>
      <c r="AC75" s="50"/>
      <c r="AD75" s="27"/>
      <c r="AE75" s="20">
        <f t="shared" si="43"/>
        <v>-116.24999999999727</v>
      </c>
      <c r="AF75" s="425">
        <f t="shared" si="54"/>
        <v>0.95156250000000109</v>
      </c>
      <c r="AG75" s="573"/>
    </row>
    <row r="76" spans="1:33" ht="16.5" customHeight="1">
      <c r="A76" s="579" t="s">
        <v>2650</v>
      </c>
      <c r="B76" s="39" t="s">
        <v>2654</v>
      </c>
      <c r="C76" s="570"/>
      <c r="D76" s="571"/>
      <c r="E76" s="427"/>
      <c r="F76" s="42"/>
      <c r="G76" s="18"/>
      <c r="H76" s="430"/>
      <c r="I76" s="32">
        <v>16</v>
      </c>
      <c r="J76" s="43">
        <v>2400</v>
      </c>
      <c r="K76" s="18">
        <f t="shared" si="48"/>
        <v>150</v>
      </c>
      <c r="L76" s="32">
        <v>16</v>
      </c>
      <c r="M76" s="19">
        <f>AVERAGE(M68:M75)</f>
        <v>2294.0876202781533</v>
      </c>
      <c r="N76" s="18">
        <f t="shared" si="49"/>
        <v>143.38047626738458</v>
      </c>
      <c r="O76" s="20">
        <f t="shared" si="50"/>
        <v>0</v>
      </c>
      <c r="P76" s="21">
        <f t="shared" si="51"/>
        <v>-6.6195237326154199</v>
      </c>
      <c r="Q76" s="425">
        <f t="shared" si="52"/>
        <v>0.95586984178256384</v>
      </c>
      <c r="R76" s="573"/>
      <c r="S76" s="49"/>
      <c r="T76" s="49"/>
      <c r="U76" s="18"/>
      <c r="V76" s="429"/>
      <c r="W76" s="18"/>
      <c r="X76" s="18"/>
      <c r="Y76" s="33">
        <f>SUM(Y68:Y75)</f>
        <v>0</v>
      </c>
      <c r="Z76" s="33">
        <f>SUM(Z68:Z75)</f>
        <v>0</v>
      </c>
      <c r="AA76" s="572"/>
      <c r="AB76" s="572"/>
      <c r="AC76" s="33">
        <v>8</v>
      </c>
      <c r="AD76" s="33">
        <f>SUM(AD68:AD75)</f>
        <v>0</v>
      </c>
      <c r="AE76" s="20">
        <f t="shared" si="43"/>
        <v>-105.91237972184672</v>
      </c>
      <c r="AF76" s="425">
        <f t="shared" si="54"/>
        <v>0.95586984178256384</v>
      </c>
      <c r="AG76" s="573"/>
    </row>
    <row r="77" spans="1:33">
      <c r="D77" s="35"/>
      <c r="E77" s="35"/>
    </row>
  </sheetData>
  <mergeCells count="203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C11:D11"/>
    <mergeCell ref="AA11:AB11"/>
    <mergeCell ref="A12:A16"/>
    <mergeCell ref="C12:D12"/>
    <mergeCell ref="R12:R16"/>
    <mergeCell ref="AA12:AB12"/>
    <mergeCell ref="C7:D7"/>
    <mergeCell ref="AA7:AB7"/>
    <mergeCell ref="C8:D8"/>
    <mergeCell ref="AA8:AB8"/>
    <mergeCell ref="C9:D9"/>
    <mergeCell ref="AA9:AB9"/>
    <mergeCell ref="A5:A11"/>
    <mergeCell ref="C5:D5"/>
    <mergeCell ref="R5:R11"/>
    <mergeCell ref="AA5:AB5"/>
    <mergeCell ref="AG17:AG22"/>
    <mergeCell ref="C18:D18"/>
    <mergeCell ref="AA18:AB18"/>
    <mergeCell ref="C19:D19"/>
    <mergeCell ref="AA19:AB19"/>
    <mergeCell ref="C20:D20"/>
    <mergeCell ref="AG12:AG16"/>
    <mergeCell ref="C13:D13"/>
    <mergeCell ref="AA13:AB13"/>
    <mergeCell ref="C14:D14"/>
    <mergeCell ref="AA14:AB14"/>
    <mergeCell ref="C15:D15"/>
    <mergeCell ref="AA15:AB15"/>
    <mergeCell ref="C16:D16"/>
    <mergeCell ref="AA16:AB16"/>
    <mergeCell ref="AA20:AB20"/>
    <mergeCell ref="C21:D21"/>
    <mergeCell ref="AA21:AB21"/>
    <mergeCell ref="C22:D22"/>
    <mergeCell ref="AA22:AB22"/>
    <mergeCell ref="A23:A31"/>
    <mergeCell ref="C23:D23"/>
    <mergeCell ref="R23:R31"/>
    <mergeCell ref="AA23:AB23"/>
    <mergeCell ref="AA28:AB28"/>
    <mergeCell ref="A17:A22"/>
    <mergeCell ref="C17:D17"/>
    <mergeCell ref="R17:R22"/>
    <mergeCell ref="AA17:AB17"/>
    <mergeCell ref="AG23:AG31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C31:D31"/>
    <mergeCell ref="AA31:AB31"/>
    <mergeCell ref="A32:A39"/>
    <mergeCell ref="C32:D32"/>
    <mergeCell ref="R32:R39"/>
    <mergeCell ref="AA32:AB32"/>
    <mergeCell ref="AA37:AB37"/>
    <mergeCell ref="C38:D38"/>
    <mergeCell ref="AG32:AG39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A38:AB38"/>
    <mergeCell ref="C39:D39"/>
    <mergeCell ref="AA39:AB39"/>
    <mergeCell ref="C40:D40"/>
    <mergeCell ref="R40:R48"/>
    <mergeCell ref="AA40:AB40"/>
    <mergeCell ref="AA45:AB45"/>
    <mergeCell ref="C46:D46"/>
    <mergeCell ref="AA46:AB46"/>
    <mergeCell ref="C47:D47"/>
    <mergeCell ref="AA47:AB47"/>
    <mergeCell ref="C48:D48"/>
    <mergeCell ref="AA48:AB48"/>
    <mergeCell ref="A49:A53"/>
    <mergeCell ref="C49:D49"/>
    <mergeCell ref="R49:R53"/>
    <mergeCell ref="AA49:AB49"/>
    <mergeCell ref="AG40:AG48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G49:AG53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A40:A48"/>
    <mergeCell ref="A54:A61"/>
    <mergeCell ref="C54:D54"/>
    <mergeCell ref="R54:R61"/>
    <mergeCell ref="AA54:AB54"/>
    <mergeCell ref="AG54:AG61"/>
    <mergeCell ref="C55:D55"/>
    <mergeCell ref="AA55:AB55"/>
    <mergeCell ref="C56:D56"/>
    <mergeCell ref="AA56:AB56"/>
    <mergeCell ref="AA57:AB57"/>
    <mergeCell ref="AG62:AG67"/>
    <mergeCell ref="C63:D63"/>
    <mergeCell ref="AA63:AB63"/>
    <mergeCell ref="C64:D64"/>
    <mergeCell ref="AA64:AB64"/>
    <mergeCell ref="C65:D65"/>
    <mergeCell ref="AA58:AB58"/>
    <mergeCell ref="C59:D59"/>
    <mergeCell ref="AA59:AB59"/>
    <mergeCell ref="C60:D60"/>
    <mergeCell ref="AA60:AB60"/>
    <mergeCell ref="C61:D61"/>
    <mergeCell ref="AA61:AB61"/>
    <mergeCell ref="AA65:AB65"/>
    <mergeCell ref="C66:D66"/>
    <mergeCell ref="AA66:AB66"/>
    <mergeCell ref="C67:D67"/>
    <mergeCell ref="AA67:AB67"/>
    <mergeCell ref="A68:A76"/>
    <mergeCell ref="C68:D68"/>
    <mergeCell ref="R68:R76"/>
    <mergeCell ref="AA68:AB68"/>
    <mergeCell ref="AA73:AB73"/>
    <mergeCell ref="A62:A67"/>
    <mergeCell ref="C62:D62"/>
    <mergeCell ref="R62:R67"/>
    <mergeCell ref="AA62:AB62"/>
    <mergeCell ref="C74:D74"/>
    <mergeCell ref="AA74:AB74"/>
    <mergeCell ref="C75:D75"/>
    <mergeCell ref="AA75:AB75"/>
    <mergeCell ref="C76:D76"/>
    <mergeCell ref="AA76:AB76"/>
    <mergeCell ref="AG68:AG76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73:D73"/>
  </mergeCells>
  <phoneticPr fontId="3" type="noConversion"/>
  <conditionalFormatting sqref="O65:O73 O61:O62 O76 O5:O12 O16:O18 O22:O59">
    <cfRule type="cellIs" dxfId="1519" priority="54" operator="greaterThan">
      <formula>0</formula>
    </cfRule>
  </conditionalFormatting>
  <conditionalFormatting sqref="P5:P10 P65:P66 AE65:AE66 P68:P73 P32:P38 P62 P12 P16:P18 P23:P30 P54:P59 P40:P52 AE5:AE62 AE68:AE76">
    <cfRule type="cellIs" dxfId="1518" priority="58" operator="lessThan">
      <formula>0</formula>
    </cfRule>
  </conditionalFormatting>
  <conditionalFormatting sqref="AF65:AF66 Q65:Q73 Q61:Q62 Q76 Q5:Q12 Q16:Q18 Q22:Q59 AF5:AF62 AF68:AF76">
    <cfRule type="cellIs" dxfId="1517" priority="55" operator="greaterThan">
      <formula>1</formula>
    </cfRule>
    <cfRule type="cellIs" dxfId="1516" priority="56" operator="lessThan">
      <formula>0.8</formula>
    </cfRule>
  </conditionalFormatting>
  <conditionalFormatting sqref="AG17:AG18 R17:R18 AG65 R65:R73 R22:R28 AG22:AG28 AG61:AG62 R61:R62 R76 AG5:AG12 R5:R12 R31:R59 AG31:AG59">
    <cfRule type="cellIs" dxfId="1515" priority="60" operator="lessThan">
      <formula>0.8</formula>
    </cfRule>
  </conditionalFormatting>
  <conditionalFormatting sqref="AG49">
    <cfRule type="cellIs" dxfId="1514" priority="62" operator="lessThan">
      <formula>0.8</formula>
    </cfRule>
  </conditionalFormatting>
  <conditionalFormatting sqref="AG23:AG28">
    <cfRule type="cellIs" dxfId="1513" priority="59" operator="lessThan">
      <formula>0.8</formula>
    </cfRule>
  </conditionalFormatting>
  <conditionalFormatting sqref="AG32">
    <cfRule type="cellIs" dxfId="1512" priority="61" operator="lessThan">
      <formula>0.8</formula>
    </cfRule>
  </conditionalFormatting>
  <conditionalFormatting sqref="AG40:AG47">
    <cfRule type="cellIs" dxfId="1511" priority="57" operator="lessThan">
      <formula>0.8</formula>
    </cfRule>
  </conditionalFormatting>
  <conditionalFormatting sqref="AE67">
    <cfRule type="cellIs" dxfId="1510" priority="53" operator="lessThan">
      <formula>0</formula>
    </cfRule>
  </conditionalFormatting>
  <conditionalFormatting sqref="AF67">
    <cfRule type="cellIs" dxfId="1509" priority="51" operator="greaterThan">
      <formula>1</formula>
    </cfRule>
    <cfRule type="cellIs" dxfId="1508" priority="52" operator="lessThan">
      <formula>0.8</formula>
    </cfRule>
  </conditionalFormatting>
  <conditionalFormatting sqref="O19:O20">
    <cfRule type="cellIs" dxfId="1507" priority="46" operator="greaterThan">
      <formula>0</formula>
    </cfRule>
  </conditionalFormatting>
  <conditionalFormatting sqref="P19:P20">
    <cfRule type="cellIs" dxfId="1506" priority="49" operator="lessThan">
      <formula>0</formula>
    </cfRule>
  </conditionalFormatting>
  <conditionalFormatting sqref="Q19:Q20">
    <cfRule type="cellIs" dxfId="1505" priority="47" operator="greaterThan">
      <formula>1</formula>
    </cfRule>
    <cfRule type="cellIs" dxfId="1504" priority="48" operator="lessThan">
      <formula>0.8</formula>
    </cfRule>
  </conditionalFormatting>
  <conditionalFormatting sqref="R19:R20 AG19:AG20">
    <cfRule type="cellIs" dxfId="1503" priority="50" operator="lessThan">
      <formula>0.8</formula>
    </cfRule>
  </conditionalFormatting>
  <conditionalFormatting sqref="O13:O15">
    <cfRule type="cellIs" dxfId="1502" priority="42" operator="greaterThan">
      <formula>0</formula>
    </cfRule>
  </conditionalFormatting>
  <conditionalFormatting sqref="P13:P15">
    <cfRule type="cellIs" dxfId="1501" priority="45" operator="lessThan">
      <formula>0</formula>
    </cfRule>
  </conditionalFormatting>
  <conditionalFormatting sqref="Q13:Q15">
    <cfRule type="cellIs" dxfId="1500" priority="43" operator="greaterThan">
      <formula>1</formula>
    </cfRule>
    <cfRule type="cellIs" dxfId="1499" priority="44" operator="lessThan">
      <formula>0.8</formula>
    </cfRule>
  </conditionalFormatting>
  <conditionalFormatting sqref="O60">
    <cfRule type="cellIs" dxfId="1498" priority="37" operator="greaterThan">
      <formula>0</formula>
    </cfRule>
  </conditionalFormatting>
  <conditionalFormatting sqref="P60">
    <cfRule type="cellIs" dxfId="1497" priority="40" operator="lessThan">
      <formula>0</formula>
    </cfRule>
  </conditionalFormatting>
  <conditionalFormatting sqref="Q60">
    <cfRule type="cellIs" dxfId="1496" priority="38" operator="greaterThan">
      <formula>1</formula>
    </cfRule>
    <cfRule type="cellIs" dxfId="1495" priority="39" operator="lessThan">
      <formula>0.8</formula>
    </cfRule>
  </conditionalFormatting>
  <conditionalFormatting sqref="R60 AG60">
    <cfRule type="cellIs" dxfId="1494" priority="41" operator="lessThan">
      <formula>0.8</formula>
    </cfRule>
  </conditionalFormatting>
  <conditionalFormatting sqref="AG30 R30">
    <cfRule type="cellIs" dxfId="1493" priority="36" operator="lessThan">
      <formula>0.8</formula>
    </cfRule>
  </conditionalFormatting>
  <conditionalFormatting sqref="O64">
    <cfRule type="cellIs" dxfId="1492" priority="31" operator="greaterThan">
      <formula>0</formula>
    </cfRule>
  </conditionalFormatting>
  <conditionalFormatting sqref="P64 AE64">
    <cfRule type="cellIs" dxfId="1491" priority="34" operator="lessThan">
      <formula>0</formula>
    </cfRule>
  </conditionalFormatting>
  <conditionalFormatting sqref="Q64 AF64">
    <cfRule type="cellIs" dxfId="1490" priority="32" operator="greaterThan">
      <formula>1</formula>
    </cfRule>
    <cfRule type="cellIs" dxfId="1489" priority="33" operator="lessThan">
      <formula>0.8</formula>
    </cfRule>
  </conditionalFormatting>
  <conditionalFormatting sqref="R64 AG64">
    <cfRule type="cellIs" dxfId="1488" priority="35" operator="lessThan">
      <formula>0.8</formula>
    </cfRule>
  </conditionalFormatting>
  <conditionalFormatting sqref="O74">
    <cfRule type="cellIs" dxfId="1487" priority="26" operator="greaterThan">
      <formula>0</formula>
    </cfRule>
  </conditionalFormatting>
  <conditionalFormatting sqref="P74">
    <cfRule type="cellIs" dxfId="1486" priority="29" operator="lessThan">
      <formula>0</formula>
    </cfRule>
  </conditionalFormatting>
  <conditionalFormatting sqref="Q74">
    <cfRule type="cellIs" dxfId="1485" priority="27" operator="greaterThan">
      <formula>1</formula>
    </cfRule>
    <cfRule type="cellIs" dxfId="1484" priority="28" operator="lessThan">
      <formula>0.8</formula>
    </cfRule>
  </conditionalFormatting>
  <conditionalFormatting sqref="R74">
    <cfRule type="cellIs" dxfId="1483" priority="30" operator="lessThan">
      <formula>0.8</formula>
    </cfRule>
  </conditionalFormatting>
  <conditionalFormatting sqref="O21">
    <cfRule type="cellIs" dxfId="1482" priority="21" operator="greaterThan">
      <formula>0</formula>
    </cfRule>
  </conditionalFormatting>
  <conditionalFormatting sqref="P21">
    <cfRule type="cellIs" dxfId="1481" priority="24" operator="lessThan">
      <formula>0</formula>
    </cfRule>
  </conditionalFormatting>
  <conditionalFormatting sqref="Q21">
    <cfRule type="cellIs" dxfId="1480" priority="22" operator="greaterThan">
      <formula>1</formula>
    </cfRule>
    <cfRule type="cellIs" dxfId="1479" priority="23" operator="lessThan">
      <formula>0.8</formula>
    </cfRule>
  </conditionalFormatting>
  <conditionalFormatting sqref="R21 AG21">
    <cfRule type="cellIs" dxfId="1478" priority="25" operator="lessThan">
      <formula>0.8</formula>
    </cfRule>
  </conditionalFormatting>
  <conditionalFormatting sqref="R29 AG29">
    <cfRule type="cellIs" dxfId="1477" priority="20" operator="lessThan">
      <formula>0.8</formula>
    </cfRule>
  </conditionalFormatting>
  <conditionalFormatting sqref="AG29">
    <cfRule type="cellIs" dxfId="1476" priority="19" operator="lessThan">
      <formula>0.8</formula>
    </cfRule>
  </conditionalFormatting>
  <conditionalFormatting sqref="O63">
    <cfRule type="cellIs" dxfId="1475" priority="14" operator="greaterThan">
      <formula>0</formula>
    </cfRule>
  </conditionalFormatting>
  <conditionalFormatting sqref="P63 AE63">
    <cfRule type="cellIs" dxfId="1474" priority="17" operator="lessThan">
      <formula>0</formula>
    </cfRule>
  </conditionalFormatting>
  <conditionalFormatting sqref="Q63 AF63">
    <cfRule type="cellIs" dxfId="1473" priority="15" operator="greaterThan">
      <formula>1</formula>
    </cfRule>
    <cfRule type="cellIs" dxfId="1472" priority="16" operator="lessThan">
      <formula>0.8</formula>
    </cfRule>
  </conditionalFormatting>
  <conditionalFormatting sqref="R63 AG63">
    <cfRule type="cellIs" dxfId="1471" priority="18" operator="lessThan">
      <formula>0.8</formula>
    </cfRule>
  </conditionalFormatting>
  <conditionalFormatting sqref="P11">
    <cfRule type="cellIs" dxfId="1470" priority="13" operator="lessThan">
      <formula>0</formula>
    </cfRule>
  </conditionalFormatting>
  <conditionalFormatting sqref="P22">
    <cfRule type="cellIs" dxfId="1469" priority="12" operator="lessThan">
      <formula>0</formula>
    </cfRule>
  </conditionalFormatting>
  <conditionalFormatting sqref="P31">
    <cfRule type="cellIs" dxfId="1468" priority="11" operator="lessThan">
      <formula>0</formula>
    </cfRule>
  </conditionalFormatting>
  <conditionalFormatting sqref="P39">
    <cfRule type="cellIs" dxfId="1467" priority="10" operator="lessThan">
      <formula>0</formula>
    </cfRule>
  </conditionalFormatting>
  <conditionalFormatting sqref="P53">
    <cfRule type="cellIs" dxfId="1466" priority="9" operator="lessThan">
      <formula>0</formula>
    </cfRule>
  </conditionalFormatting>
  <conditionalFormatting sqref="P61">
    <cfRule type="cellIs" dxfId="1465" priority="8" operator="lessThan">
      <formula>0</formula>
    </cfRule>
  </conditionalFormatting>
  <conditionalFormatting sqref="P67">
    <cfRule type="cellIs" dxfId="1464" priority="7" operator="lessThan">
      <formula>0</formula>
    </cfRule>
  </conditionalFormatting>
  <conditionalFormatting sqref="P76">
    <cfRule type="cellIs" dxfId="1463" priority="6" operator="lessThan">
      <formula>0</formula>
    </cfRule>
  </conditionalFormatting>
  <conditionalFormatting sqref="O75">
    <cfRule type="cellIs" dxfId="1462" priority="1" operator="greaterThan">
      <formula>0</formula>
    </cfRule>
  </conditionalFormatting>
  <conditionalFormatting sqref="P75">
    <cfRule type="cellIs" dxfId="1461" priority="4" operator="lessThan">
      <formula>0</formula>
    </cfRule>
  </conditionalFormatting>
  <conditionalFormatting sqref="Q75">
    <cfRule type="cellIs" dxfId="1460" priority="2" operator="greaterThan">
      <formula>1</formula>
    </cfRule>
    <cfRule type="cellIs" dxfId="1459" priority="3" operator="lessThan">
      <formula>0.8</formula>
    </cfRule>
  </conditionalFormatting>
  <conditionalFormatting sqref="R75">
    <cfRule type="cellIs" dxfId="1458" priority="5" operator="lessThan">
      <formula>0.8</formula>
    </cfRule>
  </conditionalFormatting>
  <dataValidations count="1">
    <dataValidation type="list" allowBlank="1" showInputMessage="1" showErrorMessage="1" sqref="AA5:AB9 AB10:AB11 AB66 AB13:AB62 AA10:AA66 AA67:AB7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6" zoomScale="85" zoomScaleNormal="85" workbookViewId="0">
      <selection activeCell="G15" sqref="G15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2464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1524</v>
      </c>
      <c r="C3" s="555" t="str">
        <f>TEXT('0525 4度C'!A2,"yyyy.mm.ddaaaa")</f>
        <v>2026.05.25星期一</v>
      </c>
      <c r="D3" s="556"/>
      <c r="E3" s="54" t="s">
        <v>2465</v>
      </c>
      <c r="F3" s="557">
        <f>'0525 4度C'!D1</f>
        <v>195379</v>
      </c>
      <c r="G3" s="558"/>
      <c r="H3" s="54" t="s">
        <v>1525</v>
      </c>
      <c r="I3" s="559">
        <f>'0525 4度C'!F1</f>
        <v>6707567.5499999989</v>
      </c>
      <c r="J3" s="560"/>
      <c r="K3" s="55"/>
      <c r="L3" s="56"/>
      <c r="M3" s="57"/>
      <c r="N3" s="57"/>
    </row>
    <row r="4" spans="2:17" ht="28.5" customHeight="1">
      <c r="B4" s="561" t="s">
        <v>1742</v>
      </c>
      <c r="C4" s="547" t="s">
        <v>2466</v>
      </c>
      <c r="D4" s="548"/>
      <c r="E4" s="564" t="s">
        <v>1527</v>
      </c>
      <c r="F4" s="565"/>
      <c r="G4" s="564" t="s">
        <v>1528</v>
      </c>
      <c r="H4" s="565"/>
      <c r="I4" s="564" t="s">
        <v>2467</v>
      </c>
      <c r="J4" s="565"/>
      <c r="K4" s="545" t="s">
        <v>1530</v>
      </c>
      <c r="L4" s="546"/>
      <c r="M4" s="546" t="s">
        <v>1531</v>
      </c>
      <c r="N4" s="546"/>
    </row>
    <row r="5" spans="2:17" ht="28.5" customHeight="1">
      <c r="B5" s="562"/>
      <c r="C5" s="547" t="s">
        <v>2468</v>
      </c>
      <c r="D5" s="548"/>
      <c r="E5" s="547" t="s">
        <v>2469</v>
      </c>
      <c r="F5" s="548"/>
      <c r="G5" s="549" t="s">
        <v>2470</v>
      </c>
      <c r="H5" s="550"/>
      <c r="I5" s="551" t="s">
        <v>2471</v>
      </c>
      <c r="J5" s="552"/>
      <c r="K5" s="58" t="s">
        <v>2472</v>
      </c>
      <c r="L5" s="59" t="s">
        <v>2473</v>
      </c>
      <c r="M5" s="58" t="s">
        <v>2474</v>
      </c>
      <c r="N5" s="59" t="s">
        <v>2475</v>
      </c>
    </row>
    <row r="6" spans="2:17" ht="28.5" customHeight="1">
      <c r="B6" s="562"/>
      <c r="C6" s="547" t="s">
        <v>145</v>
      </c>
      <c r="D6" s="548"/>
      <c r="E6" s="539">
        <f>AVERAGE(D13:M13)</f>
        <v>154.91268454136599</v>
      </c>
      <c r="F6" s="540">
        <f>AVERAGE(D31:O31,D13:J13)</f>
        <v>161.28528218339855</v>
      </c>
      <c r="G6" s="541">
        <f>AVERAGE(D13:J13)</f>
        <v>161.28528218339855</v>
      </c>
      <c r="H6" s="542"/>
      <c r="I6" s="541">
        <f>AVERAGE(K13:M13)</f>
        <v>140.04329004329006</v>
      </c>
      <c r="J6" s="542"/>
      <c r="K6" s="543">
        <f>'0525 4度C'!Y2</f>
        <v>0</v>
      </c>
      <c r="L6" s="528">
        <f>'0525 4度C'!Z2</f>
        <v>0</v>
      </c>
      <c r="M6" s="544">
        <f>'0525 4度C'!AC2</f>
        <v>64</v>
      </c>
      <c r="N6" s="528">
        <f>'0525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148.55905089938045</v>
      </c>
      <c r="F7" s="532">
        <f>AVERAGE(D32:O32,D14:J14)</f>
        <v>154.80312088594548</v>
      </c>
      <c r="G7" s="533">
        <f>AVERAGE(D14:J14)</f>
        <v>154.80312088594548</v>
      </c>
      <c r="H7" s="534"/>
      <c r="I7" s="533">
        <f>AVERAGE(K14:M14)</f>
        <v>133.98955426406201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0.95868147115894486</v>
      </c>
      <c r="F8" s="536">
        <f>AVERAGE(D15:J15,D33:O33)</f>
        <v>0.95952689914151945</v>
      </c>
      <c r="G8" s="537">
        <f>AVERAGE(D15:J15)</f>
        <v>0.95952689914151945</v>
      </c>
      <c r="H8" s="538"/>
      <c r="I8" s="537">
        <f>AVERAGE(K15:M15)</f>
        <v>0.95670880586627094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2476</v>
      </c>
      <c r="N9" s="57"/>
      <c r="O9" s="57"/>
      <c r="P9" s="57"/>
      <c r="Q9" s="57"/>
    </row>
    <row r="10" spans="2:17" ht="30" customHeight="1">
      <c r="B10" s="511" t="s">
        <v>1536</v>
      </c>
      <c r="C10" s="512"/>
      <c r="D10" s="513" t="s">
        <v>2477</v>
      </c>
      <c r="E10" s="514"/>
      <c r="F10" s="514"/>
      <c r="G10" s="514"/>
      <c r="H10" s="514"/>
      <c r="I10" s="514"/>
      <c r="J10" s="515"/>
      <c r="K10" s="516" t="s">
        <v>2478</v>
      </c>
      <c r="L10" s="517"/>
      <c r="M10" s="518"/>
      <c r="P10" s="63"/>
      <c r="Q10" s="63"/>
    </row>
    <row r="11" spans="2:17" ht="17.25" customHeight="1">
      <c r="B11" s="519" t="s">
        <v>2479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2480</v>
      </c>
      <c r="C13" s="70" t="s">
        <v>2297</v>
      </c>
      <c r="D13" s="71">
        <f>SUMIFS('0525 4度C'!$K:$K,'0525 4度C'!$A:$A,"新豐6線",'0525 4度C'!$B:$B,"平均")</f>
        <v>127.65957446808511</v>
      </c>
      <c r="E13" s="72">
        <f>SUMIFS('0525 4度C'!$K:$K,'0525 4度C'!$A:$A,"新豐2線",'0525 4度C'!$B:$B,"平均")</f>
        <v>86.956521739130437</v>
      </c>
      <c r="F13" s="73">
        <f>SUMIFS('0525 4度C'!$K:$K,'0525 4度C'!$A:$A,"新豐5線",'0525 4度C'!$B:$B,"平均")</f>
        <v>107.14285714285714</v>
      </c>
      <c r="G13" s="73">
        <f>SUMIFS('0525 4度C'!$K:$K,'0525 4度C'!$A:$A,"新豐7線",'0525 4度C'!$B:$B,"平均")</f>
        <v>128.57142857142858</v>
      </c>
      <c r="H13" s="73">
        <f>SUMIFS('0525 4度C'!$K:$K,'0525 4度C'!$A:$A,"新豐3線",'0525 4度C'!$B:$B,"平均")</f>
        <v>255.81395348837211</v>
      </c>
      <c r="I13" s="73">
        <f>SUMIFS('0525 4度C'!$K:$K,'0525 4度C'!$A:$A,"新豐1線",'0525 4度C'!$B:$B,"平均")</f>
        <v>103.70370370370371</v>
      </c>
      <c r="J13" s="74">
        <f>SUMIFS('0525 4度C'!$K:$K,'0525 4度C'!$A:$A,"新豐10線",'0525 4度C'!$B:$B,"平均")</f>
        <v>319.14893617021278</v>
      </c>
      <c r="K13" s="75">
        <f>SUMIFS('0525 4度C'!$K:$K,'0525 4度C'!$A:$A,"新豐8線",'0525 4度C'!$B:$B,"平均")</f>
        <v>140.25974025974025</v>
      </c>
      <c r="L13" s="76">
        <f>SUMIFS('0525 4度C'!$K:$K,'0525 4度C'!$A:$A,"新豐9線",'0525 4度C'!$B:$B,"平均")</f>
        <v>129.87012987012986</v>
      </c>
      <c r="M13" s="74">
        <f>SUMIFS('0525 4度C'!$K:$K,'0525 4度C'!$A:$A,"新豐4線",'0525 4度C'!$B:$B,"平均")</f>
        <v>150</v>
      </c>
    </row>
    <row r="14" spans="2:17" ht="39.6" customHeight="1">
      <c r="B14" s="524"/>
      <c r="C14" s="77" t="s">
        <v>1537</v>
      </c>
      <c r="D14" s="78">
        <f>SUMIFS('0525 4度C'!$N:$N,'0525 4度C'!$A:$A,"新豐6線",'0525 4度C'!$B:$B,"平均")</f>
        <v>122.78854362373069</v>
      </c>
      <c r="E14" s="79">
        <f>SUMIFS('0525 4度C'!$N:$N,'0525 4度C'!$A:$A,"新豐2線",'0525 4度C'!$B:$B,"平均")</f>
        <v>82.936238675146711</v>
      </c>
      <c r="F14" s="79">
        <f>SUMIFS('0525 4度C'!$N:$N,'0525 4度C'!$A:$A,"新豐5線",'0525 4度C'!$B:$B,"平均")</f>
        <v>103.33185664129203</v>
      </c>
      <c r="G14" s="79">
        <f>SUMIFS('0525 4度C'!$N:$N,'0525 4度C'!$A:$A,"新豐7線",'0525 4度C'!$B:$B,"平均")</f>
        <v>123.03661313118776</v>
      </c>
      <c r="H14" s="79">
        <f>SUMIFS('0525 4度C'!$N:$N,'0525 4度C'!$A:$A,"新豐3線",'0525 4度C'!$B:$B,"平均")</f>
        <v>244.1447521083455</v>
      </c>
      <c r="I14" s="79">
        <f>SUMIFS('0525 4度C'!$N:$N,'0525 4度C'!$A:$A,"新豐1線",'0525 4度C'!$B:$B,"平均")</f>
        <v>99.675871293394664</v>
      </c>
      <c r="J14" s="80">
        <f>SUMIFS('0525 4度C'!$N:$N,'0525 4度C'!$A:$A,"新豐10線",'0525 4度C'!$B:$B,"平均")</f>
        <v>307.70797072852093</v>
      </c>
      <c r="K14" s="81">
        <f>SUMIFS('0525 4度C'!$N:$N,'0525 4度C'!$A:$A,"新豐8線",'0525 4度C'!$B:$B,"平均")</f>
        <v>134.29021461838676</v>
      </c>
      <c r="L14" s="82">
        <f>SUMIFS('0525 4度C'!$N:$N,'0525 4度C'!$A:$A,"新豐9線",'0525 4度C'!$B:$B,"平均")</f>
        <v>124.02961612346282</v>
      </c>
      <c r="M14" s="80">
        <f>SUMIFS('0525 4度C'!$N:$N,'0525 4度C'!$A:$A,"新豐4線",'0525 4度C'!$B:$B,"平均")</f>
        <v>143.64883205033649</v>
      </c>
    </row>
    <row r="15" spans="2:17" ht="40.15" customHeight="1">
      <c r="B15" s="525"/>
      <c r="C15" s="83" t="s">
        <v>2481</v>
      </c>
      <c r="D15" s="84">
        <f t="shared" ref="D15:M15" si="0">D14/D13</f>
        <v>0.96184359171922373</v>
      </c>
      <c r="E15" s="85">
        <f t="shared" si="0"/>
        <v>0.9537667447641871</v>
      </c>
      <c r="F15" s="85">
        <f t="shared" si="0"/>
        <v>0.9644306619853924</v>
      </c>
      <c r="G15" s="85">
        <f t="shared" si="0"/>
        <v>0.95695143546479366</v>
      </c>
      <c r="H15" s="85">
        <f t="shared" si="0"/>
        <v>0.95438403096898694</v>
      </c>
      <c r="I15" s="85">
        <f t="shared" si="0"/>
        <v>0.96116018747201992</v>
      </c>
      <c r="J15" s="86">
        <f t="shared" si="0"/>
        <v>0.96415164161603217</v>
      </c>
      <c r="K15" s="84">
        <f t="shared" si="0"/>
        <v>0.95743949311257226</v>
      </c>
      <c r="L15" s="85">
        <f t="shared" si="0"/>
        <v>0.95502804415066378</v>
      </c>
      <c r="M15" s="86">
        <f t="shared" si="0"/>
        <v>0.95765888033557667</v>
      </c>
    </row>
    <row r="16" spans="2:17" ht="17.25" customHeight="1">
      <c r="B16" s="526" t="s">
        <v>1659</v>
      </c>
      <c r="C16" s="87" t="s">
        <v>1539</v>
      </c>
      <c r="D16" s="88">
        <f>VLOOKUP("新豐6線",'0525 4度C'!$A:$T,19,0)</f>
        <v>0.70833333333333337</v>
      </c>
      <c r="E16" s="89">
        <f>VLOOKUP("新豐2線",'0525 4度C'!$A:$T,19,0)</f>
        <v>8.3333333333333329E-2</v>
      </c>
      <c r="F16" s="89">
        <f>VLOOKUP("新豐5線",'0525 4度C'!$A:$T,19,0)</f>
        <v>0.20833333333333334</v>
      </c>
      <c r="G16" s="89">
        <f>VLOOKUP("新豐7線",'0525 4度C'!$A:$T,19,0)</f>
        <v>0.20833333333333334</v>
      </c>
      <c r="H16" s="89">
        <f>VLOOKUP("新豐3線",'0525 4度C'!$A:$T,19,0)</f>
        <v>8.3333333333333329E-2</v>
      </c>
      <c r="I16" s="89">
        <f>VLOOKUP("新豐1線",'0525 4度C'!$A:$T,19,0)</f>
        <v>0.20833333333333334</v>
      </c>
      <c r="J16" s="90">
        <f>VLOOKUP("新豐10線",'0525 4度C'!$A:$T,19,0)</f>
        <v>0.20833333333333334</v>
      </c>
      <c r="K16" s="91">
        <f>VLOOKUP("新豐8線",'0525 4度C'!$A:$T,19,0)</f>
        <v>8.3333333333333329E-2</v>
      </c>
      <c r="L16" s="92">
        <f>VLOOKUP("新豐9線",'0525 4度C'!$A:$T,19,0)</f>
        <v>8.3333333333333329E-2</v>
      </c>
      <c r="M16" s="93">
        <f>VLOOKUP("新豐4線",'0525 4度C'!$A:$T,19,0)</f>
        <v>8.3333333333333329E-2</v>
      </c>
    </row>
    <row r="17" spans="2:13" ht="17.25" customHeight="1">
      <c r="B17" s="527"/>
      <c r="C17" s="87" t="s">
        <v>2482</v>
      </c>
      <c r="D17" s="91">
        <f>LOOKUP(2,1/(('0525 4度C'!$A:$A="新豐6線")*('0525 4度C'!$T:$T&lt;&gt;"")),'0525 4度C'!$T:$T)</f>
        <v>0.95416666666666661</v>
      </c>
      <c r="E17" s="89">
        <f>LOOKUP(2,1/(('0525 4度C'!$A:$A="新豐2線")*('0525 4度C'!$T:$T&lt;&gt;"")),'0525 4度C'!$T:$T)</f>
        <v>0.64236111111111105</v>
      </c>
      <c r="F17" s="89">
        <f>LOOKUP(2,1/(('0525 4度C'!$A:$A="新豐5線")*('0525 4度C'!$T:$T&lt;&gt;"")),'0525 4度C'!$T:$T)</f>
        <v>0.90416666666666656</v>
      </c>
      <c r="G17" s="89">
        <f>LOOKUP(2,1/(('0525 4度C'!$A:$A="新豐7線")*('0525 4度C'!$T:$T&lt;&gt;"")),'0525 4度C'!$T:$T)</f>
        <v>0.91458333333333319</v>
      </c>
      <c r="H17" s="89">
        <f>LOOKUP(2,1/(('0525 4度C'!$A:$A="新豐3線")*('0525 4度C'!$T:$T&lt;&gt;"")),'0525 4度C'!$T:$T)</f>
        <v>0.44305555555555559</v>
      </c>
      <c r="I17" s="89">
        <f>LOOKUP(2,1/(('0525 4度C'!$A:$A="新豐1線")*('0525 4度C'!$T:$T&lt;&gt;"")),'0525 4度C'!$T:$T)</f>
        <v>0.78680555555555565</v>
      </c>
      <c r="J17" s="90">
        <f>LOOKUP(2,1/(('0525 4度C'!$A:$A="新豐10線")*('0525 4度C'!$T:$T&lt;&gt;"")),'0525 4度C'!$T:$T)</f>
        <v>0.41805555555555551</v>
      </c>
      <c r="K17" s="88">
        <f>LOOKUP(2,1/(('0525 4度C'!$A:$A="新豐8線")*('0525 4度C'!$T:$T&lt;&gt;"")),'0525 4度C'!$T:$T)</f>
        <v>0.77708333333333324</v>
      </c>
      <c r="L17" s="89">
        <f>LOOKUP(2,1/(('0525 4度C'!$A:$A="新豐9線")*('0525 4度C'!$T:$T&lt;&gt;"")),'0525 4度C'!$T:$T)</f>
        <v>0.77083333333333326</v>
      </c>
      <c r="M17" s="90">
        <f>LOOKUP(2,1/(('0525 4度C'!$A:$A="新豐4線")*('0525 4度C'!$T:$T&lt;&gt;"")),'0525 4度C'!$T:$T)</f>
        <v>0.71527777777777768</v>
      </c>
    </row>
    <row r="18" spans="2:13" ht="17.25" customHeight="1">
      <c r="B18" s="505" t="s">
        <v>1540</v>
      </c>
      <c r="C18" s="94" t="s">
        <v>40</v>
      </c>
      <c r="D18" s="95">
        <f>SUMIFS('0525 4度C'!$Y:$Y,'0525 4度C'!$A:$A,"新豐6線",'0525 4度C'!$B:$B,"平均")</f>
        <v>0</v>
      </c>
      <c r="E18" s="96">
        <f>SUMIFS('0525 4度C'!$Y:$Y,'0525 4度C'!$A:$A,"新豐2線",'0525 4度C'!$B:$B,"平均")</f>
        <v>0</v>
      </c>
      <c r="F18" s="96">
        <f>SUMIFS('0525 4度C'!$Y:$Y,'0525 4度C'!$A:$A,"新豐5線",'0525 4度C'!$B:$B,"平均")</f>
        <v>0</v>
      </c>
      <c r="G18" s="96">
        <f>SUMIFS('0525 4度C'!$Y:$Y,'0525 4度C'!$A:$A,"新豐7線",'0525 4度C'!$B:$B,"平均")</f>
        <v>0</v>
      </c>
      <c r="H18" s="96">
        <f>SUMIFS('0525 4度C'!$Y:$Y,'0525 4度C'!$A:$A,"新豐3線",'0525 4度C'!$B:$B,"平均")</f>
        <v>0</v>
      </c>
      <c r="I18" s="96">
        <f>SUMIFS('0525 4度C'!$Y:$Y,'0525 4度C'!$A:$A,"新豐1線",'0525 4度C'!$B:$B,"平均")</f>
        <v>0</v>
      </c>
      <c r="J18" s="97">
        <f>SUMIFS('0525 4度C'!$Y:$Y,'0525 4度C'!$A:$A,"新豐10線",'0525 4度C'!$B:$B,"平均")</f>
        <v>0</v>
      </c>
      <c r="K18" s="98">
        <f>SUMIFS('0525 4度C'!$Y:$Y,'0525 4度C'!$A:$A,"新豐8線",'0525 4度C'!$B:$B,"平均")</f>
        <v>0</v>
      </c>
      <c r="L18" s="96">
        <f>SUMIFS('0525 4度C'!$Y:$Y,'0525 4度C'!$A:$A,"新豐9線",'0525 4度C'!$B:$B,"平均")</f>
        <v>0</v>
      </c>
      <c r="M18" s="97">
        <f>SUMIFS('0525 4度C'!$Y:$Y,'0525 4度C'!$A:$A,"新豐4線",'0525 4度C'!$B:$B,"平均")</f>
        <v>0</v>
      </c>
    </row>
    <row r="19" spans="2:13" ht="17.25" customHeight="1">
      <c r="B19" s="506"/>
      <c r="C19" s="94" t="s">
        <v>41</v>
      </c>
      <c r="D19" s="95">
        <f>SUMIFS('0525 4度C'!$Z:$Z,'0525 4度C'!$A:$A,"新豐6線",'0525 4度C'!$B:$B,"平均")</f>
        <v>0</v>
      </c>
      <c r="E19" s="96">
        <f>SUMIFS('0525 4度C'!$Z:$Z,'0525 4度C'!$A:$A,"新豐2線",'0525 4度C'!$B:$B,"平均")</f>
        <v>0</v>
      </c>
      <c r="F19" s="96">
        <f>SUMIFS('0525 4度C'!$Z:$Z,'0525 4度C'!$A:$A,"新豐5線",'0525 4度C'!$B:$B,"平均")</f>
        <v>0</v>
      </c>
      <c r="G19" s="96">
        <f>SUMIFS('0525 4度C'!$Z:$Z,'0525 4度C'!$A:$A,"新豐7線",'0525 4度C'!$B:$B,"平均")</f>
        <v>0</v>
      </c>
      <c r="H19" s="96">
        <f>SUMIFS('0525 4度C'!$Z:$Z,'0525 4度C'!$A:$A,"新豐3線",'0525 4度C'!$B:$B,"平均")</f>
        <v>0</v>
      </c>
      <c r="I19" s="96">
        <f>SUMIFS('0525 4度C'!$Z:$Z,'0525 4度C'!$A:$A,"新豐1線",'0525 4度C'!$B:$B,"平均")</f>
        <v>0</v>
      </c>
      <c r="J19" s="97">
        <f>SUMIFS('0525 4度C'!$Z:$Z,'0525 4度C'!$A:$A,"新豐10線",'0525 4度C'!$B:$B,"平均")</f>
        <v>0</v>
      </c>
      <c r="K19" s="98">
        <f>SUMIFS('0525 4度C'!$Z:$Z,'0525 4度C'!$A:$A,"新豐8線",'0525 4度C'!$B:$B,"平均")</f>
        <v>0</v>
      </c>
      <c r="L19" s="96">
        <f>SUMIFS('0525 4度C'!$Z:$Z,'0525 4度C'!$A:$A,"新豐9線",'0525 4度C'!$B:$B,"平均")</f>
        <v>0</v>
      </c>
      <c r="M19" s="97">
        <f>SUMIFS('0525 4度C'!$Z:$Z,'0525 4度C'!$A:$A,"新豐4線",'0525 4度C'!$B:$B,"平均")</f>
        <v>0</v>
      </c>
    </row>
    <row r="20" spans="2:13" ht="17.25" customHeight="1">
      <c r="B20" s="505" t="s">
        <v>2483</v>
      </c>
      <c r="C20" s="94" t="s">
        <v>2484</v>
      </c>
      <c r="D20" s="95">
        <f>SUMIFS('0525 4度C'!$AC:$AC,'0525 4度C'!$A:$A,"新豐6線",'0525 4度C'!$B:$B,"平均")</f>
        <v>6</v>
      </c>
      <c r="E20" s="96">
        <f>SUMIFS('0525 4度C'!$AC:$AC,'0525 4度C'!$A:$A,"新豐2線",'0525 4度C'!$B:$B,"平均")</f>
        <v>4</v>
      </c>
      <c r="F20" s="96">
        <f>SUMIFS('0525 4度C'!$AC:$AC,'0525 4度C'!$A:$A,"新豐5線",'0525 4度C'!$B:$B,"平均")</f>
        <v>5</v>
      </c>
      <c r="G20" s="96">
        <f>SUMIFS('0525 4度C'!$AC:$AC,'0525 4度C'!$A:$A,"新豐7線",'0525 4度C'!$B:$B,"平均")</f>
        <v>7</v>
      </c>
      <c r="H20" s="96">
        <f>SUMIFS('0525 4度C'!$AC:$AC,'0525 4度C'!$A:$A,"新豐3線",'0525 4度C'!$B:$B,"平均")</f>
        <v>4</v>
      </c>
      <c r="I20" s="96">
        <f>SUMIFS('0525 4度C'!$AC:$AC,'0525 4度C'!$A:$A,"新豐1線",'0525 4度C'!$B:$B,"平均")</f>
        <v>7</v>
      </c>
      <c r="J20" s="97">
        <f>SUMIFS('0525 4度C'!$AC:$AC,'0525 4度C'!$A:$A,"新豐10線",'0525 4度C'!$B:$B,"平均")</f>
        <v>5</v>
      </c>
      <c r="K20" s="98">
        <f>SUMIFS('0525 4度C'!$AC:$AC,'0525 4度C'!$A:$A,"新豐8線",'0525 4度C'!$B:$B,"平均")</f>
        <v>9</v>
      </c>
      <c r="L20" s="96">
        <f>SUMIFS('0525 4度C'!$AC:$AC,'0525 4度C'!$A:$A,"新豐9線",'0525 4度C'!$B:$B,"平均")</f>
        <v>9</v>
      </c>
      <c r="M20" s="97">
        <f>SUMIFS('0525 4度C'!$AC:$AC,'0525 4度C'!$A:$A,"新豐4線",'0525 4度C'!$B:$B,"平均")</f>
        <v>8</v>
      </c>
    </row>
    <row r="21" spans="2:13" ht="17.25" customHeight="1">
      <c r="B21" s="506"/>
      <c r="C21" s="94" t="s">
        <v>2485</v>
      </c>
      <c r="D21" s="95">
        <f>SUMIFS('0525 4度C'!$AD:$AD,'0525 4度C'!$A:$A,"新豐6線",'0525 4度C'!$B:$B,"平均")</f>
        <v>0</v>
      </c>
      <c r="E21" s="96">
        <f>SUMIFS('0525 4度C'!$AD:$AD,'0525 4度C'!$A:$A,"新豐2線",'0525 4度C'!$B:$B,"平均")</f>
        <v>0</v>
      </c>
      <c r="F21" s="96">
        <f>SUMIFS('0525 4度C'!$AD:$AD,'0525 4度C'!$A:$A,"新豐5線",'0525 4度C'!$B:$B,"平均")</f>
        <v>0</v>
      </c>
      <c r="G21" s="96">
        <f>SUMIFS('0525 4度C'!$AD:$AD,'0525 4度C'!$A:$A,"新豐7線",'0525 4度C'!$B:$B,"平均")</f>
        <v>0</v>
      </c>
      <c r="H21" s="96">
        <f>SUMIFS('0525 4度C'!$AD:$AD,'0525 4度C'!$A:$A,"新豐3線",'0525 4度C'!$B:$B,"平均")</f>
        <v>0</v>
      </c>
      <c r="I21" s="96">
        <f>SUMIFS('0525 4度C'!$AD:$AD,'0525 4度C'!$A:$A,"新豐1線",'0525 4度C'!$B:$B,"平均")</f>
        <v>0</v>
      </c>
      <c r="J21" s="97">
        <f>SUMIFS('0525 4度C'!$AD:$AD,'0525 4度C'!$A:$A,"新豐10線",'0525 4度C'!$B:$B,"平均")</f>
        <v>0</v>
      </c>
      <c r="K21" s="98">
        <f>SUMIFS('0525 4度C'!$AD:$AD,'0525 4度C'!$A:$A,"新豐8線",'0525 4度C'!$B:$B,"平均")</f>
        <v>0</v>
      </c>
      <c r="L21" s="96">
        <f>SUMIFS('0525 4度C'!$AD:$AD,'0525 4度C'!$A:$A,"新豐9線",'0525 4度C'!$B:$B,"平均")</f>
        <v>0</v>
      </c>
      <c r="M21" s="97">
        <f>SUMIFS('0525 4度C'!$AD:$AD,'0525 4度C'!$A:$A,"新豐4線",'0525 4度C'!$B:$B,"平均")</f>
        <v>0</v>
      </c>
    </row>
    <row r="22" spans="2:13" ht="17.25" customHeight="1">
      <c r="B22" s="507" t="s">
        <v>2486</v>
      </c>
      <c r="C22" s="508"/>
      <c r="D22" s="99">
        <f>SUMIFS('0525 4度C'!$I:$I,'0525 4度C'!$A:$A,"新豐6線",'0525 4度C'!$B:$B,"平均")</f>
        <v>15.666666666666666</v>
      </c>
      <c r="E22" s="100">
        <f>SUMIFS('0525 4度C'!$I:$I,'0525 4度C'!$A:$A,"新豐2線",'0525 4度C'!$B:$B,"平均")</f>
        <v>17.25</v>
      </c>
      <c r="F22" s="100">
        <f>SUMIFS('0525 4度C'!$I:$I,'0525 4度C'!$A:$A,"新豐5線",'0525 4度C'!$B:$B,"平均")</f>
        <v>16.8</v>
      </c>
      <c r="G22" s="100">
        <f>SUMIFS('0525 4度C'!$I:$I,'0525 4度C'!$A:$A,"新豐7線",'0525 4度C'!$B:$B,"平均")</f>
        <v>15</v>
      </c>
      <c r="H22" s="100">
        <f>SUMIFS('0525 4度C'!$I:$I,'0525 4度C'!$A:$A,"新豐3線",'0525 4度C'!$B:$B,"平均")</f>
        <v>10.75</v>
      </c>
      <c r="I22" s="100">
        <f>SUMIFS('0525 4度C'!$I:$I,'0525 4度C'!$A:$A,"新豐1線",'0525 4度C'!$B:$B,"平均")</f>
        <v>19.285714285714285</v>
      </c>
      <c r="J22" s="101">
        <f>SUMIFS('0525 4度C'!$I:$I,'0525 4度C'!$A:$A,"新豐10線",'0525 4度C'!$B:$B,"平均")</f>
        <v>9.4</v>
      </c>
      <c r="K22" s="99">
        <f>SUMIFS('0525 4度C'!$I:$I,'0525 4度C'!$A:$A,"新豐8線",'0525 4度C'!$B:$B,"平均")</f>
        <v>17.111111111111111</v>
      </c>
      <c r="L22" s="100">
        <f>SUMIFS('0525 4度C'!$I:$I,'0525 4度C'!$A:$A,"新豐9線",'0525 4度C'!$B:$B,"平均")</f>
        <v>17.111111111111111</v>
      </c>
      <c r="M22" s="101">
        <f>SUMIFS('0525 4度C'!$I:$I,'0525 4度C'!$A:$A,"新豐4線",'0525 4度C'!$B:$B,"平均")</f>
        <v>16</v>
      </c>
    </row>
    <row r="23" spans="2:13" ht="17.25" customHeight="1">
      <c r="B23" s="507" t="s">
        <v>1668</v>
      </c>
      <c r="C23" s="508"/>
      <c r="D23" s="102" t="s">
        <v>177</v>
      </c>
      <c r="E23" s="103" t="s">
        <v>178</v>
      </c>
      <c r="F23" s="103" t="s">
        <v>1465</v>
      </c>
      <c r="G23" s="103" t="s">
        <v>2487</v>
      </c>
      <c r="H23" s="103" t="s">
        <v>180</v>
      </c>
      <c r="I23" s="103" t="s">
        <v>177</v>
      </c>
      <c r="J23" s="104" t="s">
        <v>180</v>
      </c>
      <c r="K23" s="102" t="s">
        <v>2488</v>
      </c>
      <c r="L23" s="103" t="s">
        <v>2488</v>
      </c>
      <c r="M23" s="104" t="s">
        <v>1466</v>
      </c>
    </row>
    <row r="24" spans="2:13" ht="17.25" customHeight="1">
      <c r="B24" s="507" t="s">
        <v>2489</v>
      </c>
      <c r="C24" s="508"/>
      <c r="D24" s="102"/>
      <c r="E24" s="103"/>
      <c r="F24" s="103" t="s">
        <v>2490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1470</v>
      </c>
      <c r="C25" s="510"/>
      <c r="D25" s="105"/>
      <c r="E25" s="106" t="s">
        <v>2491</v>
      </c>
      <c r="F25" s="503" t="s">
        <v>1472</v>
      </c>
      <c r="G25" s="504"/>
      <c r="H25" s="106" t="s">
        <v>2492</v>
      </c>
      <c r="I25" s="106" t="s">
        <v>2493</v>
      </c>
      <c r="J25" s="107" t="s">
        <v>1473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45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0"/>
  <sheetViews>
    <sheetView topLeftCell="O1" zoomScale="80" zoomScaleNormal="80" workbookViewId="0">
      <pane ySplit="4" topLeftCell="A5" activePane="bottomLeft" state="frozen"/>
      <selection activeCell="J13" sqref="J13"/>
      <selection pane="bottomLeft" activeCell="AC12" sqref="AC1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2494</v>
      </c>
      <c r="B1" s="1"/>
      <c r="C1" s="2" t="s">
        <v>1</v>
      </c>
      <c r="D1" s="3">
        <f>SUM(F5:F78)</f>
        <v>195379</v>
      </c>
      <c r="E1" s="407" t="s">
        <v>2495</v>
      </c>
      <c r="F1" s="1">
        <f>SUM(G5:G78)</f>
        <v>6707567.5499999989</v>
      </c>
      <c r="G1" s="1" t="s">
        <v>3</v>
      </c>
      <c r="H1" s="5">
        <f>L11+L16+L55+L63+L22+L69+L40+L50+L30+L78</f>
        <v>154.37460317460318</v>
      </c>
      <c r="I1" s="617" t="s">
        <v>2496</v>
      </c>
      <c r="J1" s="617"/>
      <c r="K1" s="617"/>
      <c r="L1" s="617" t="s">
        <v>2497</v>
      </c>
      <c r="M1" s="617"/>
      <c r="N1" s="617"/>
      <c r="O1" s="617" t="s">
        <v>2498</v>
      </c>
      <c r="P1" s="617"/>
      <c r="Q1" s="617"/>
      <c r="R1" s="617"/>
      <c r="S1" s="617" t="s">
        <v>2499</v>
      </c>
      <c r="T1" s="617"/>
      <c r="U1" s="617"/>
      <c r="V1" s="617"/>
      <c r="W1" s="617"/>
      <c r="X1" s="617"/>
      <c r="Y1" s="6" t="s">
        <v>8</v>
      </c>
      <c r="Z1" s="7" t="s">
        <v>2500</v>
      </c>
      <c r="AA1" s="618" t="s">
        <v>2501</v>
      </c>
      <c r="AB1" s="618"/>
      <c r="AC1" s="121" t="s">
        <v>8</v>
      </c>
      <c r="AD1" s="7" t="s">
        <v>1487</v>
      </c>
      <c r="AE1" s="617" t="s">
        <v>2502</v>
      </c>
      <c r="AF1" s="619"/>
      <c r="AG1" s="619"/>
    </row>
    <row r="2" spans="1:33" ht="26.25" customHeight="1">
      <c r="A2" s="37">
        <v>46167</v>
      </c>
      <c r="B2" s="38" t="s">
        <v>483</v>
      </c>
      <c r="C2" s="2" t="s">
        <v>13</v>
      </c>
      <c r="D2" s="10">
        <f>AVERAGE(N11,N16,N55,N63,N22,N69,N30,N40,N50,N78)</f>
        <v>148.55905089938042</v>
      </c>
      <c r="E2" s="11" t="s">
        <v>14</v>
      </c>
      <c r="F2" s="12">
        <f>F1/D1</f>
        <v>34.33105681777468</v>
      </c>
      <c r="G2" s="1" t="s">
        <v>2503</v>
      </c>
      <c r="H2" s="416">
        <f>COUNT(H5:H78)</f>
        <v>16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SUM(Y11+Y16+Y22+Y30+Y40+Y50+Y55+Y63+Y69+Y78)</f>
        <v>0</v>
      </c>
      <c r="Z2" s="14">
        <f>SUM(Z11+Z16+Z22+Z30+Z40+Z50+Z55+Z63+Z69+Z78)</f>
        <v>0</v>
      </c>
      <c r="AA2" s="618"/>
      <c r="AB2" s="618"/>
      <c r="AC2" s="122">
        <v>64</v>
      </c>
      <c r="AD2" s="14">
        <f>SUM(AD11+AD16+AD22+AD30+AD40+AD50+AD55+AD63+AD69+AD78)</f>
        <v>0</v>
      </c>
      <c r="AE2" s="619"/>
      <c r="AF2" s="619"/>
      <c r="AG2" s="619"/>
    </row>
    <row r="3" spans="1:33" ht="40.5" customHeight="1">
      <c r="A3" s="575" t="s">
        <v>16</v>
      </c>
      <c r="B3" s="575" t="s">
        <v>1492</v>
      </c>
      <c r="C3" s="575" t="s">
        <v>1493</v>
      </c>
      <c r="D3" s="575"/>
      <c r="E3" s="615" t="s">
        <v>1494</v>
      </c>
      <c r="F3" s="575" t="s">
        <v>20</v>
      </c>
      <c r="G3" s="615" t="s">
        <v>2504</v>
      </c>
      <c r="H3" s="608" t="s">
        <v>1497</v>
      </c>
      <c r="I3" s="606" t="s">
        <v>2505</v>
      </c>
      <c r="J3" s="603" t="s">
        <v>24</v>
      </c>
      <c r="K3" s="613" t="s">
        <v>13</v>
      </c>
      <c r="L3" s="606" t="s">
        <v>2505</v>
      </c>
      <c r="M3" s="603" t="s">
        <v>24</v>
      </c>
      <c r="N3" s="613" t="s">
        <v>2480</v>
      </c>
      <c r="O3" s="606" t="s">
        <v>1498</v>
      </c>
      <c r="P3" s="613" t="s">
        <v>2480</v>
      </c>
      <c r="Q3" s="604" t="s">
        <v>35</v>
      </c>
      <c r="R3" s="582" t="s">
        <v>1501</v>
      </c>
      <c r="S3" s="614" t="s">
        <v>28</v>
      </c>
      <c r="T3" s="614"/>
      <c r="U3" s="608" t="s">
        <v>29</v>
      </c>
      <c r="V3" s="608" t="s">
        <v>2506</v>
      </c>
      <c r="W3" s="575" t="s">
        <v>2507</v>
      </c>
      <c r="X3" s="575"/>
      <c r="Y3" s="609" t="s">
        <v>2508</v>
      </c>
      <c r="Z3" s="572"/>
      <c r="AA3" s="610" t="s">
        <v>2509</v>
      </c>
      <c r="AB3" s="611"/>
      <c r="AC3" s="609" t="s">
        <v>2510</v>
      </c>
      <c r="AD3" s="572"/>
      <c r="AE3" s="603" t="s">
        <v>2511</v>
      </c>
      <c r="AF3" s="604" t="s">
        <v>2512</v>
      </c>
      <c r="AG3" s="582" t="s">
        <v>1501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415" t="s">
        <v>36</v>
      </c>
      <c r="T4" s="415" t="s">
        <v>37</v>
      </c>
      <c r="U4" s="608"/>
      <c r="V4" s="608"/>
      <c r="W4" s="407" t="s">
        <v>38</v>
      </c>
      <c r="X4" s="407" t="s">
        <v>1508</v>
      </c>
      <c r="Y4" s="405" t="s">
        <v>2513</v>
      </c>
      <c r="Z4" s="405" t="s">
        <v>2514</v>
      </c>
      <c r="AA4" s="612"/>
      <c r="AB4" s="611"/>
      <c r="AC4" s="405" t="s">
        <v>2515</v>
      </c>
      <c r="AD4" s="405" t="s">
        <v>43</v>
      </c>
      <c r="AE4" s="603"/>
      <c r="AF4" s="604"/>
      <c r="AG4" s="582"/>
    </row>
    <row r="5" spans="1:33">
      <c r="A5" s="605" t="s">
        <v>44</v>
      </c>
      <c r="B5" s="39" t="s">
        <v>74</v>
      </c>
      <c r="C5" s="607" t="s">
        <v>75</v>
      </c>
      <c r="D5" s="607"/>
      <c r="E5" s="39">
        <v>50.67</v>
      </c>
      <c r="F5" s="415">
        <v>1647</v>
      </c>
      <c r="G5" s="407">
        <f t="shared" ref="G5:G10" si="0">E5*F5</f>
        <v>83453.490000000005</v>
      </c>
      <c r="H5" s="48" t="s">
        <v>126</v>
      </c>
      <c r="I5" s="413">
        <v>17</v>
      </c>
      <c r="J5" s="43">
        <v>2000</v>
      </c>
      <c r="K5" s="18">
        <f t="shared" ref="K5:K68" si="1">J5/I5</f>
        <v>117.64705882352941</v>
      </c>
      <c r="L5" s="413">
        <v>17</v>
      </c>
      <c r="M5" s="19">
        <f t="shared" ref="M5:M10" si="2">F5/V5*60</f>
        <v>1937.6470588235304</v>
      </c>
      <c r="N5" s="18">
        <f t="shared" ref="N5:N68" si="3">M5/L5</f>
        <v>113.97923875432532</v>
      </c>
      <c r="O5" s="20">
        <f t="shared" ref="O5:O68" si="4">L5-I5</f>
        <v>0</v>
      </c>
      <c r="P5" s="21">
        <f t="shared" ref="P5:P68" si="5">N5-K5</f>
        <v>-3.6678200692040832</v>
      </c>
      <c r="Q5" s="406">
        <f t="shared" ref="Q5:Q68" si="6">N5/K5</f>
        <v>0.96882352941176531</v>
      </c>
      <c r="R5" s="573">
        <f>Q11</f>
        <v>0.96184359171922373</v>
      </c>
      <c r="S5" s="49">
        <v>0.70833333333333337</v>
      </c>
      <c r="T5" s="49">
        <v>0.74375000000000002</v>
      </c>
      <c r="U5" s="407"/>
      <c r="V5" s="414">
        <f t="shared" ref="V5:V10" si="7">(T5-S5)*24*60</f>
        <v>50.999999999999979</v>
      </c>
      <c r="W5" s="25"/>
      <c r="X5" s="26"/>
      <c r="Y5" s="26"/>
      <c r="Z5" s="26"/>
      <c r="AA5" s="575"/>
      <c r="AB5" s="575"/>
      <c r="AC5" s="50">
        <v>6</v>
      </c>
      <c r="AD5" s="27"/>
      <c r="AE5" s="20">
        <f t="shared" ref="AE5:AE62" si="8">M5-J5</f>
        <v>-62.352941176469585</v>
      </c>
      <c r="AF5" s="406">
        <f t="shared" ref="AF5:AF68" si="9">M5/J5</f>
        <v>0.96882352941176519</v>
      </c>
      <c r="AG5" s="573">
        <f>AF11</f>
        <v>0.96184359171922373</v>
      </c>
    </row>
    <row r="6" spans="1:33">
      <c r="A6" s="606" t="s">
        <v>44</v>
      </c>
      <c r="B6" s="39" t="s">
        <v>74</v>
      </c>
      <c r="C6" s="607" t="s">
        <v>77</v>
      </c>
      <c r="D6" s="607"/>
      <c r="E6" s="39">
        <v>50.67</v>
      </c>
      <c r="F6" s="415">
        <v>1635</v>
      </c>
      <c r="G6" s="407">
        <f t="shared" si="0"/>
        <v>82845.45</v>
      </c>
      <c r="H6" s="48" t="s">
        <v>126</v>
      </c>
      <c r="I6" s="413">
        <v>15</v>
      </c>
      <c r="J6" s="43">
        <v>2000</v>
      </c>
      <c r="K6" s="18">
        <f t="shared" si="1"/>
        <v>133.33333333333334</v>
      </c>
      <c r="L6" s="413">
        <v>15</v>
      </c>
      <c r="M6" s="19">
        <f t="shared" si="2"/>
        <v>1923.5294117647065</v>
      </c>
      <c r="N6" s="18">
        <f t="shared" si="3"/>
        <v>128.2352941176471</v>
      </c>
      <c r="O6" s="20">
        <f t="shared" si="4"/>
        <v>0</v>
      </c>
      <c r="P6" s="21">
        <f t="shared" si="5"/>
        <v>-5.0980392156862422</v>
      </c>
      <c r="Q6" s="406">
        <f t="shared" si="6"/>
        <v>0.96176470588235319</v>
      </c>
      <c r="R6" s="573"/>
      <c r="S6" s="49">
        <v>0.74722222222222223</v>
      </c>
      <c r="T6" s="49">
        <v>0.78263888888888888</v>
      </c>
      <c r="U6" s="407">
        <f t="shared" ref="U6:U10" si="10">IF(S6=TIME(17,0,0),"",(S6-T5)*24*60)</f>
        <v>4.9999999999999822</v>
      </c>
      <c r="V6" s="414">
        <f t="shared" si="7"/>
        <v>50.999999999999979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-76.470588235293462</v>
      </c>
      <c r="AF6" s="406">
        <f t="shared" si="9"/>
        <v>0.9617647058823533</v>
      </c>
      <c r="AG6" s="573"/>
    </row>
    <row r="7" spans="1:33">
      <c r="A7" s="606" t="s">
        <v>2516</v>
      </c>
      <c r="B7" s="39" t="s">
        <v>74</v>
      </c>
      <c r="C7" s="598" t="s">
        <v>86</v>
      </c>
      <c r="D7" s="599"/>
      <c r="E7" s="39">
        <v>50.92</v>
      </c>
      <c r="F7" s="415">
        <v>1000</v>
      </c>
      <c r="G7" s="407">
        <f t="shared" si="0"/>
        <v>50920</v>
      </c>
      <c r="H7" s="48">
        <v>2</v>
      </c>
      <c r="I7" s="413">
        <v>15</v>
      </c>
      <c r="J7" s="43">
        <v>2000</v>
      </c>
      <c r="K7" s="18">
        <f t="shared" si="1"/>
        <v>133.33333333333334</v>
      </c>
      <c r="L7" s="413">
        <v>15</v>
      </c>
      <c r="M7" s="19">
        <f t="shared" si="2"/>
        <v>1935.483870967739</v>
      </c>
      <c r="N7" s="18">
        <f t="shared" si="3"/>
        <v>129.03225806451593</v>
      </c>
      <c r="O7" s="20">
        <f t="shared" si="4"/>
        <v>0</v>
      </c>
      <c r="P7" s="21">
        <f t="shared" si="5"/>
        <v>-4.3010752688174136</v>
      </c>
      <c r="Q7" s="406">
        <f t="shared" si="6"/>
        <v>0.96774193548386944</v>
      </c>
      <c r="R7" s="573"/>
      <c r="S7" s="49">
        <v>0.78680555555555554</v>
      </c>
      <c r="T7" s="49">
        <v>0.80833333333333335</v>
      </c>
      <c r="U7" s="407">
        <f t="shared" si="10"/>
        <v>5.9999999999999787</v>
      </c>
      <c r="V7" s="414">
        <f t="shared" si="7"/>
        <v>31.00000000000005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-64.516129032261006</v>
      </c>
      <c r="AF7" s="406">
        <f t="shared" si="9"/>
        <v>0.96774193548386944</v>
      </c>
      <c r="AG7" s="573"/>
    </row>
    <row r="8" spans="1:33">
      <c r="A8" s="606" t="s">
        <v>2517</v>
      </c>
      <c r="B8" s="39" t="s">
        <v>74</v>
      </c>
      <c r="C8" s="598" t="s">
        <v>93</v>
      </c>
      <c r="D8" s="599"/>
      <c r="E8" s="39">
        <v>50.98</v>
      </c>
      <c r="F8" s="415">
        <v>1000</v>
      </c>
      <c r="G8" s="407">
        <f t="shared" si="0"/>
        <v>50980</v>
      </c>
      <c r="H8" s="48">
        <v>2</v>
      </c>
      <c r="I8" s="413">
        <v>16</v>
      </c>
      <c r="J8" s="43">
        <v>2000</v>
      </c>
      <c r="K8" s="18">
        <f t="shared" si="1"/>
        <v>125</v>
      </c>
      <c r="L8" s="413">
        <v>16</v>
      </c>
      <c r="M8" s="19">
        <f t="shared" si="2"/>
        <v>1935.483870967739</v>
      </c>
      <c r="N8" s="18">
        <f t="shared" si="3"/>
        <v>120.96774193548369</v>
      </c>
      <c r="O8" s="20">
        <f t="shared" si="4"/>
        <v>0</v>
      </c>
      <c r="P8" s="21">
        <f t="shared" si="5"/>
        <v>-4.0322580645163129</v>
      </c>
      <c r="Q8" s="406">
        <f t="shared" si="6"/>
        <v>0.96774193548386944</v>
      </c>
      <c r="R8" s="573"/>
      <c r="S8" s="49">
        <v>0.8125</v>
      </c>
      <c r="T8" s="49">
        <v>0.83402777777777781</v>
      </c>
      <c r="U8" s="407">
        <f t="shared" si="10"/>
        <v>5.9999999999999787</v>
      </c>
      <c r="V8" s="414">
        <f t="shared" si="7"/>
        <v>31.00000000000005</v>
      </c>
      <c r="W8" s="25">
        <f>T8</f>
        <v>0.83402777777777781</v>
      </c>
      <c r="X8" s="25">
        <f>S9</f>
        <v>0.875</v>
      </c>
      <c r="Y8" s="31"/>
      <c r="Z8" s="31"/>
      <c r="AA8" s="568"/>
      <c r="AB8" s="569"/>
      <c r="AC8" s="50"/>
      <c r="AD8" s="29"/>
      <c r="AE8" s="20">
        <f t="shared" si="8"/>
        <v>-64.516129032261006</v>
      </c>
      <c r="AF8" s="406">
        <f t="shared" si="9"/>
        <v>0.96774193548386944</v>
      </c>
      <c r="AG8" s="573"/>
    </row>
    <row r="9" spans="1:33">
      <c r="A9" s="606" t="s">
        <v>44</v>
      </c>
      <c r="B9" s="39" t="s">
        <v>74</v>
      </c>
      <c r="C9" s="598" t="s">
        <v>86</v>
      </c>
      <c r="D9" s="599"/>
      <c r="E9" s="39">
        <v>50.92</v>
      </c>
      <c r="F9" s="415">
        <v>1557</v>
      </c>
      <c r="G9" s="407">
        <f t="shared" si="0"/>
        <v>79282.44</v>
      </c>
      <c r="H9" s="48" t="s">
        <v>126</v>
      </c>
      <c r="I9" s="413">
        <v>15</v>
      </c>
      <c r="J9" s="43">
        <v>2000</v>
      </c>
      <c r="K9" s="18">
        <f t="shared" si="1"/>
        <v>133.33333333333334</v>
      </c>
      <c r="L9" s="413">
        <v>15</v>
      </c>
      <c r="M9" s="19">
        <f t="shared" si="2"/>
        <v>1906.5306122448985</v>
      </c>
      <c r="N9" s="18">
        <f t="shared" si="3"/>
        <v>127.10204081632656</v>
      </c>
      <c r="O9" s="20">
        <f t="shared" si="4"/>
        <v>0</v>
      </c>
      <c r="P9" s="21">
        <f t="shared" si="5"/>
        <v>-6.2312925170067786</v>
      </c>
      <c r="Q9" s="406">
        <f t="shared" si="6"/>
        <v>0.9532653061224492</v>
      </c>
      <c r="R9" s="573"/>
      <c r="S9" s="49">
        <v>0.875</v>
      </c>
      <c r="T9" s="49">
        <v>0.90902777777777777</v>
      </c>
      <c r="U9" s="407">
        <f t="shared" si="10"/>
        <v>58.99999999999995</v>
      </c>
      <c r="V9" s="414">
        <f t="shared" si="7"/>
        <v>48.999999999999986</v>
      </c>
      <c r="W9" s="25"/>
      <c r="X9" s="25"/>
      <c r="Y9" s="28"/>
      <c r="Z9" s="28"/>
      <c r="AA9" s="568"/>
      <c r="AB9" s="569"/>
      <c r="AC9" s="50"/>
      <c r="AD9" s="29"/>
      <c r="AE9" s="20">
        <f t="shared" si="8"/>
        <v>-93.469387755101479</v>
      </c>
      <c r="AF9" s="406">
        <f t="shared" si="9"/>
        <v>0.95326530612244931</v>
      </c>
      <c r="AG9" s="573"/>
    </row>
    <row r="10" spans="1:33">
      <c r="A10" s="606" t="s">
        <v>2518</v>
      </c>
      <c r="B10" s="39" t="s">
        <v>74</v>
      </c>
      <c r="C10" s="598" t="s">
        <v>93</v>
      </c>
      <c r="D10" s="599"/>
      <c r="E10" s="39">
        <v>50.98</v>
      </c>
      <c r="F10" s="415">
        <v>1840</v>
      </c>
      <c r="G10" s="407">
        <f t="shared" si="0"/>
        <v>93803.199999999997</v>
      </c>
      <c r="H10" s="48" t="s">
        <v>126</v>
      </c>
      <c r="I10" s="413">
        <v>16</v>
      </c>
      <c r="J10" s="43">
        <v>2000</v>
      </c>
      <c r="K10" s="18">
        <f t="shared" si="1"/>
        <v>125</v>
      </c>
      <c r="L10" s="413">
        <v>16</v>
      </c>
      <c r="M10" s="19">
        <f t="shared" si="2"/>
        <v>1903.4482758620702</v>
      </c>
      <c r="N10" s="18">
        <f t="shared" si="3"/>
        <v>118.96551724137939</v>
      </c>
      <c r="O10" s="20">
        <f t="shared" si="4"/>
        <v>0</v>
      </c>
      <c r="P10" s="21">
        <f t="shared" si="5"/>
        <v>-6.0344827586206122</v>
      </c>
      <c r="Q10" s="406">
        <f t="shared" si="6"/>
        <v>0.95172413793103505</v>
      </c>
      <c r="R10" s="573"/>
      <c r="S10" s="49">
        <v>0.91388888888888886</v>
      </c>
      <c r="T10" s="49">
        <v>0.95416666666666661</v>
      </c>
      <c r="U10" s="407">
        <f t="shared" si="10"/>
        <v>6.9999999999999751</v>
      </c>
      <c r="V10" s="414">
        <f t="shared" si="7"/>
        <v>57.999999999999957</v>
      </c>
      <c r="W10" s="25"/>
      <c r="X10" s="25"/>
      <c r="Y10" s="28"/>
      <c r="Z10" s="28"/>
      <c r="AA10" s="568"/>
      <c r="AB10" s="569"/>
      <c r="AC10" s="50"/>
      <c r="AD10" s="29"/>
      <c r="AE10" s="20">
        <f t="shared" si="8"/>
        <v>-96.551724137929796</v>
      </c>
      <c r="AF10" s="406">
        <f t="shared" si="9"/>
        <v>0.95172413793103505</v>
      </c>
      <c r="AG10" s="573"/>
    </row>
    <row r="11" spans="1:33">
      <c r="A11" s="606" t="s">
        <v>2518</v>
      </c>
      <c r="B11" s="39" t="s">
        <v>2519</v>
      </c>
      <c r="C11" s="576"/>
      <c r="D11" s="576"/>
      <c r="E11" s="408"/>
      <c r="F11" s="42"/>
      <c r="G11" s="18"/>
      <c r="H11" s="415"/>
      <c r="I11" s="32">
        <v>15.666666666666666</v>
      </c>
      <c r="J11" s="43">
        <v>2000</v>
      </c>
      <c r="K11" s="18">
        <f t="shared" si="1"/>
        <v>127.65957446808511</v>
      </c>
      <c r="L11" s="32">
        <v>15.666666666666666</v>
      </c>
      <c r="M11" s="19">
        <f>AVERAGE(M5:M10)</f>
        <v>1923.6871834384474</v>
      </c>
      <c r="N11" s="18">
        <f t="shared" si="3"/>
        <v>122.78854362373069</v>
      </c>
      <c r="O11" s="20">
        <f t="shared" si="4"/>
        <v>0</v>
      </c>
      <c r="P11" s="21">
        <f t="shared" si="5"/>
        <v>-4.8710308443544221</v>
      </c>
      <c r="Q11" s="406">
        <f t="shared" si="6"/>
        <v>0.96184359171922373</v>
      </c>
      <c r="R11" s="573"/>
      <c r="S11" s="49"/>
      <c r="T11" s="49"/>
      <c r="U11" s="407"/>
      <c r="V11" s="414"/>
      <c r="W11" s="18"/>
      <c r="X11" s="18"/>
      <c r="Y11" s="33">
        <f>SUM(Y5:Y10)</f>
        <v>0</v>
      </c>
      <c r="Z11" s="33">
        <f>SUM(Z5:Z10)</f>
        <v>0</v>
      </c>
      <c r="AA11" s="572"/>
      <c r="AB11" s="572"/>
      <c r="AC11" s="33">
        <v>6</v>
      </c>
      <c r="AD11" s="33">
        <f>SUM(AD5:AD10)</f>
        <v>0</v>
      </c>
      <c r="AE11" s="20">
        <f t="shared" si="8"/>
        <v>-76.312816561552609</v>
      </c>
      <c r="AF11" s="406">
        <f t="shared" si="9"/>
        <v>0.96184359171922373</v>
      </c>
      <c r="AG11" s="573"/>
    </row>
    <row r="12" spans="1:33" ht="15.75" customHeight="1">
      <c r="A12" s="602" t="s">
        <v>2520</v>
      </c>
      <c r="B12" s="39" t="s">
        <v>79</v>
      </c>
      <c r="C12" s="598" t="s">
        <v>80</v>
      </c>
      <c r="D12" s="599"/>
      <c r="E12" s="39">
        <v>39.619999999999997</v>
      </c>
      <c r="F12" s="415">
        <v>5271</v>
      </c>
      <c r="G12" s="407">
        <f t="shared" ref="G12:G15" si="11">E12*F12</f>
        <v>208837.02</v>
      </c>
      <c r="H12" s="48" t="s">
        <v>126</v>
      </c>
      <c r="I12" s="413">
        <v>19</v>
      </c>
      <c r="J12" s="43">
        <v>1500</v>
      </c>
      <c r="K12" s="18">
        <f t="shared" si="1"/>
        <v>78.94736842105263</v>
      </c>
      <c r="L12" s="413">
        <v>19</v>
      </c>
      <c r="M12" s="19">
        <f t="shared" ref="M12:M15" si="12">F12/V12*60</f>
        <v>1431.0407239819006</v>
      </c>
      <c r="N12" s="18">
        <f t="shared" si="3"/>
        <v>75.317932841152654</v>
      </c>
      <c r="O12" s="20">
        <f t="shared" si="4"/>
        <v>0</v>
      </c>
      <c r="P12" s="21">
        <f t="shared" si="5"/>
        <v>-3.629435579899976</v>
      </c>
      <c r="Q12" s="406">
        <f t="shared" si="6"/>
        <v>0.95402714932126698</v>
      </c>
      <c r="R12" s="573">
        <f>Q16</f>
        <v>0.9537667447641871</v>
      </c>
      <c r="S12" s="49">
        <v>8.3333333333333329E-2</v>
      </c>
      <c r="T12" s="49">
        <v>0.23680555555555555</v>
      </c>
      <c r="U12" s="407"/>
      <c r="V12" s="414">
        <f t="shared" ref="V12:V15" si="13">(T12-S12)*24*60</f>
        <v>221</v>
      </c>
      <c r="W12" s="25">
        <f>T12</f>
        <v>0.23680555555555555</v>
      </c>
      <c r="X12" s="25">
        <f>S13</f>
        <v>0.25763888888888886</v>
      </c>
      <c r="Y12" s="25"/>
      <c r="Z12" s="25"/>
      <c r="AA12" s="575"/>
      <c r="AB12" s="575"/>
      <c r="AC12" s="50">
        <v>4</v>
      </c>
      <c r="AD12" s="27"/>
      <c r="AE12" s="20">
        <f t="shared" si="8"/>
        <v>-68.959276018099445</v>
      </c>
      <c r="AF12" s="406">
        <f t="shared" si="9"/>
        <v>0.95402714932126709</v>
      </c>
      <c r="AG12" s="573">
        <f>AF16</f>
        <v>0.95376674476418721</v>
      </c>
    </row>
    <row r="13" spans="1:33" ht="15.75" customHeight="1">
      <c r="A13" s="602" t="s">
        <v>47</v>
      </c>
      <c r="B13" s="39" t="s">
        <v>79</v>
      </c>
      <c r="C13" s="598" t="s">
        <v>81</v>
      </c>
      <c r="D13" s="599"/>
      <c r="E13" s="39">
        <v>39.799999999999997</v>
      </c>
      <c r="F13" s="415">
        <v>3100</v>
      </c>
      <c r="G13" s="407">
        <f t="shared" si="11"/>
        <v>123379.99999999999</v>
      </c>
      <c r="H13" s="48">
        <v>2</v>
      </c>
      <c r="I13" s="413">
        <v>17</v>
      </c>
      <c r="J13" s="43">
        <v>1500</v>
      </c>
      <c r="K13" s="18">
        <f t="shared" si="1"/>
        <v>88.235294117647058</v>
      </c>
      <c r="L13" s="413">
        <v>17</v>
      </c>
      <c r="M13" s="19">
        <f t="shared" si="12"/>
        <v>1430.7692307692305</v>
      </c>
      <c r="N13" s="18">
        <f t="shared" si="3"/>
        <v>84.162895927601795</v>
      </c>
      <c r="O13" s="20">
        <f t="shared" si="4"/>
        <v>0</v>
      </c>
      <c r="P13" s="21">
        <f t="shared" si="5"/>
        <v>-4.0723981900452628</v>
      </c>
      <c r="Q13" s="406">
        <f t="shared" si="6"/>
        <v>0.95384615384615368</v>
      </c>
      <c r="R13" s="573"/>
      <c r="S13" s="49">
        <v>0.25763888888888886</v>
      </c>
      <c r="T13" s="49">
        <v>0.34791666666666665</v>
      </c>
      <c r="U13" s="407">
        <f t="shared" ref="U13:U15" si="14">IF(S13=TIME(17,0,0),"",(S13-T12)*24*60)</f>
        <v>29.999999999999972</v>
      </c>
      <c r="V13" s="414">
        <f t="shared" si="13"/>
        <v>130.00000000000003</v>
      </c>
      <c r="W13" s="25"/>
      <c r="X13" s="25"/>
      <c r="Y13" s="25"/>
      <c r="Z13" s="25"/>
      <c r="AA13" s="575"/>
      <c r="AB13" s="575"/>
      <c r="AC13" s="50"/>
      <c r="AD13" s="27"/>
      <c r="AE13" s="20">
        <f t="shared" si="8"/>
        <v>-69.230769230769511</v>
      </c>
      <c r="AF13" s="406">
        <f t="shared" si="9"/>
        <v>0.95384615384615368</v>
      </c>
      <c r="AG13" s="573"/>
    </row>
    <row r="14" spans="1:33" ht="15.75" customHeight="1">
      <c r="A14" s="602" t="s">
        <v>2520</v>
      </c>
      <c r="B14" s="39" t="s">
        <v>79</v>
      </c>
      <c r="C14" s="598" t="s">
        <v>1953</v>
      </c>
      <c r="D14" s="599"/>
      <c r="E14" s="39">
        <v>39.46</v>
      </c>
      <c r="F14" s="415">
        <v>4204</v>
      </c>
      <c r="G14" s="407">
        <f t="shared" si="11"/>
        <v>165889.84</v>
      </c>
      <c r="H14" s="48" t="s">
        <v>126</v>
      </c>
      <c r="I14" s="413">
        <v>16</v>
      </c>
      <c r="J14" s="43">
        <v>1500</v>
      </c>
      <c r="K14" s="18">
        <f t="shared" si="1"/>
        <v>93.75</v>
      </c>
      <c r="L14" s="413">
        <v>16</v>
      </c>
      <c r="M14" s="19">
        <f t="shared" si="12"/>
        <v>1433.1818181818182</v>
      </c>
      <c r="N14" s="18">
        <f t="shared" si="3"/>
        <v>89.57386363636364</v>
      </c>
      <c r="O14" s="20">
        <f t="shared" si="4"/>
        <v>0</v>
      </c>
      <c r="P14" s="21">
        <f t="shared" si="5"/>
        <v>-4.1761363636363598</v>
      </c>
      <c r="Q14" s="406">
        <f t="shared" si="6"/>
        <v>0.95545454545454545</v>
      </c>
      <c r="R14" s="573"/>
      <c r="S14" s="49">
        <v>0.35347222222222219</v>
      </c>
      <c r="T14" s="49">
        <v>0.47569444444444442</v>
      </c>
      <c r="U14" s="407">
        <f t="shared" si="14"/>
        <v>7.9999999999999716</v>
      </c>
      <c r="V14" s="414">
        <f t="shared" si="13"/>
        <v>176</v>
      </c>
      <c r="W14" s="25">
        <f>T14</f>
        <v>0.47569444444444442</v>
      </c>
      <c r="X14" s="25">
        <f>S15</f>
        <v>0.51458333333333328</v>
      </c>
      <c r="Y14" s="25"/>
      <c r="Z14" s="25"/>
      <c r="AA14" s="575"/>
      <c r="AB14" s="575"/>
      <c r="AC14" s="50"/>
      <c r="AD14" s="27"/>
      <c r="AE14" s="20">
        <f t="shared" si="8"/>
        <v>-66.818181818181756</v>
      </c>
      <c r="AF14" s="406">
        <f t="shared" si="9"/>
        <v>0.95545454545454545</v>
      </c>
      <c r="AG14" s="573"/>
    </row>
    <row r="15" spans="1:33" ht="15.75" customHeight="1">
      <c r="A15" s="602" t="s">
        <v>2521</v>
      </c>
      <c r="B15" s="39" t="s">
        <v>79</v>
      </c>
      <c r="C15" s="598" t="s">
        <v>81</v>
      </c>
      <c r="D15" s="599"/>
      <c r="E15" s="39">
        <v>39.799999999999997</v>
      </c>
      <c r="F15" s="415">
        <v>4378</v>
      </c>
      <c r="G15" s="407">
        <f t="shared" si="11"/>
        <v>174244.4</v>
      </c>
      <c r="H15" s="48" t="s">
        <v>126</v>
      </c>
      <c r="I15" s="413">
        <v>17</v>
      </c>
      <c r="J15" s="43">
        <v>1500</v>
      </c>
      <c r="K15" s="18">
        <f t="shared" si="1"/>
        <v>88.235294117647058</v>
      </c>
      <c r="L15" s="413">
        <v>17</v>
      </c>
      <c r="M15" s="19">
        <f t="shared" si="12"/>
        <v>1427.608695652174</v>
      </c>
      <c r="N15" s="18">
        <f t="shared" si="3"/>
        <v>83.976982097186706</v>
      </c>
      <c r="O15" s="20">
        <f t="shared" si="4"/>
        <v>0</v>
      </c>
      <c r="P15" s="21">
        <f t="shared" si="5"/>
        <v>-4.2583120204603517</v>
      </c>
      <c r="Q15" s="406">
        <f t="shared" si="6"/>
        <v>0.95173913043478264</v>
      </c>
      <c r="R15" s="573"/>
      <c r="S15" s="49">
        <v>0.51458333333333328</v>
      </c>
      <c r="T15" s="49">
        <v>0.64236111111111105</v>
      </c>
      <c r="U15" s="407">
        <f t="shared" si="14"/>
        <v>55.999999999999957</v>
      </c>
      <c r="V15" s="414">
        <f t="shared" si="13"/>
        <v>184</v>
      </c>
      <c r="W15" s="25"/>
      <c r="X15" s="25"/>
      <c r="Y15" s="25"/>
      <c r="Z15" s="25"/>
      <c r="AA15" s="568"/>
      <c r="AB15" s="569"/>
      <c r="AC15" s="50"/>
      <c r="AD15" s="27"/>
      <c r="AE15" s="20">
        <f t="shared" si="8"/>
        <v>-72.391304347826008</v>
      </c>
      <c r="AF15" s="406">
        <f t="shared" si="9"/>
        <v>0.95173913043478264</v>
      </c>
      <c r="AG15" s="573"/>
    </row>
    <row r="16" spans="1:33" ht="16.5" customHeight="1">
      <c r="A16" s="602" t="s">
        <v>47</v>
      </c>
      <c r="B16" s="39" t="s">
        <v>46</v>
      </c>
      <c r="C16" s="576"/>
      <c r="D16" s="576"/>
      <c r="E16" s="408"/>
      <c r="F16" s="43"/>
      <c r="G16" s="19"/>
      <c r="H16" s="415"/>
      <c r="I16" s="32">
        <v>17.25</v>
      </c>
      <c r="J16" s="43">
        <v>1500</v>
      </c>
      <c r="K16" s="18">
        <f t="shared" si="1"/>
        <v>86.956521739130437</v>
      </c>
      <c r="L16" s="32">
        <v>17.25</v>
      </c>
      <c r="M16" s="19">
        <f>AVERAGE(M12:M15)</f>
        <v>1430.6501171462808</v>
      </c>
      <c r="N16" s="18">
        <f t="shared" si="3"/>
        <v>82.936238675146711</v>
      </c>
      <c r="O16" s="20">
        <f t="shared" si="4"/>
        <v>0</v>
      </c>
      <c r="P16" s="21">
        <f t="shared" si="5"/>
        <v>-4.0202830639837259</v>
      </c>
      <c r="Q16" s="406">
        <f t="shared" si="6"/>
        <v>0.9537667447641871</v>
      </c>
      <c r="R16" s="573"/>
      <c r="S16" s="49"/>
      <c r="T16" s="49"/>
      <c r="U16" s="18"/>
      <c r="V16" s="414"/>
      <c r="W16" s="18"/>
      <c r="X16" s="18"/>
      <c r="Y16" s="33">
        <f>SUM(Y12:Y15)</f>
        <v>0</v>
      </c>
      <c r="Z16" s="33">
        <f>SUM(Z12:Z15)</f>
        <v>0</v>
      </c>
      <c r="AA16" s="572"/>
      <c r="AB16" s="572"/>
      <c r="AC16" s="33">
        <v>4</v>
      </c>
      <c r="AD16" s="33">
        <f>SUM(AD12:AD15)</f>
        <v>0</v>
      </c>
      <c r="AE16" s="20">
        <f t="shared" si="8"/>
        <v>-69.349882853719237</v>
      </c>
      <c r="AF16" s="406">
        <f t="shared" si="9"/>
        <v>0.95376674476418721</v>
      </c>
      <c r="AG16" s="573"/>
    </row>
    <row r="17" spans="1:33" ht="16.5" customHeight="1">
      <c r="A17" s="600" t="s">
        <v>50</v>
      </c>
      <c r="B17" s="415" t="s">
        <v>82</v>
      </c>
      <c r="C17" s="594" t="s">
        <v>83</v>
      </c>
      <c r="D17" s="594"/>
      <c r="E17" s="39">
        <v>41</v>
      </c>
      <c r="F17" s="415">
        <v>1940</v>
      </c>
      <c r="G17" s="407">
        <f t="shared" ref="G17:G21" si="15">E17*F17</f>
        <v>79540</v>
      </c>
      <c r="H17" s="48" t="s">
        <v>126</v>
      </c>
      <c r="I17" s="413">
        <v>26</v>
      </c>
      <c r="J17" s="43">
        <v>1500</v>
      </c>
      <c r="K17" s="18">
        <f t="shared" si="1"/>
        <v>57.692307692307693</v>
      </c>
      <c r="L17" s="413">
        <v>26</v>
      </c>
      <c r="M17" s="19">
        <f t="shared" ref="M17:M21" si="16">F17/V17*60</f>
        <v>1437.0370370370372</v>
      </c>
      <c r="N17" s="18">
        <f t="shared" si="3"/>
        <v>55.270655270655276</v>
      </c>
      <c r="O17" s="20">
        <f t="shared" si="4"/>
        <v>0</v>
      </c>
      <c r="P17" s="21">
        <f t="shared" si="5"/>
        <v>-2.4216524216524178</v>
      </c>
      <c r="Q17" s="406">
        <f t="shared" si="6"/>
        <v>0.9580246913580247</v>
      </c>
      <c r="R17" s="573">
        <f>Q22</f>
        <v>0.9644306619853924</v>
      </c>
      <c r="S17" s="49">
        <v>0.20833333333333334</v>
      </c>
      <c r="T17" s="49">
        <v>0.26458333333333334</v>
      </c>
      <c r="U17" s="407"/>
      <c r="V17" s="414">
        <f t="shared" ref="V17:V21" si="17">(T17-S17)*24*60</f>
        <v>80.999999999999986</v>
      </c>
      <c r="W17" s="30"/>
      <c r="X17" s="30"/>
      <c r="Y17" s="30"/>
      <c r="Z17" s="30"/>
      <c r="AA17" s="575"/>
      <c r="AB17" s="575"/>
      <c r="AC17" s="50">
        <v>5</v>
      </c>
      <c r="AD17" s="27"/>
      <c r="AE17" s="20">
        <f t="shared" si="8"/>
        <v>-62.96296296296282</v>
      </c>
      <c r="AF17" s="406">
        <f t="shared" si="9"/>
        <v>0.95802469135802482</v>
      </c>
      <c r="AG17" s="573">
        <f>AF22</f>
        <v>0.9644306619853924</v>
      </c>
    </row>
    <row r="18" spans="1:33" ht="16.5" customHeight="1">
      <c r="A18" s="601" t="s">
        <v>50</v>
      </c>
      <c r="B18" s="415" t="s">
        <v>74</v>
      </c>
      <c r="C18" s="594" t="s">
        <v>85</v>
      </c>
      <c r="D18" s="594"/>
      <c r="E18" s="39">
        <v>53.68</v>
      </c>
      <c r="F18" s="415">
        <v>1378</v>
      </c>
      <c r="G18" s="407">
        <f t="shared" si="15"/>
        <v>73971.039999999994</v>
      </c>
      <c r="H18" s="48" t="s">
        <v>126</v>
      </c>
      <c r="I18" s="413">
        <v>16</v>
      </c>
      <c r="J18" s="43">
        <v>1500</v>
      </c>
      <c r="K18" s="18">
        <f t="shared" si="1"/>
        <v>93.75</v>
      </c>
      <c r="L18" s="413">
        <v>16</v>
      </c>
      <c r="M18" s="19">
        <f t="shared" si="16"/>
        <v>1450.5263157894749</v>
      </c>
      <c r="N18" s="18">
        <f t="shared" si="3"/>
        <v>90.657894736842181</v>
      </c>
      <c r="O18" s="20">
        <f t="shared" si="4"/>
        <v>0</v>
      </c>
      <c r="P18" s="21">
        <f t="shared" si="5"/>
        <v>-3.0921052631578192</v>
      </c>
      <c r="Q18" s="406">
        <f t="shared" si="6"/>
        <v>0.96701754385964989</v>
      </c>
      <c r="R18" s="573"/>
      <c r="S18" s="49">
        <v>0.70833333333333337</v>
      </c>
      <c r="T18" s="49">
        <v>0.74791666666666667</v>
      </c>
      <c r="U18" s="407" t="str">
        <f t="shared" ref="U18:U21" si="18">IF(S18=TIME(17,0,0),"",(S18-T17)*24*60)</f>
        <v/>
      </c>
      <c r="V18" s="414">
        <f t="shared" si="17"/>
        <v>56.999999999999957</v>
      </c>
      <c r="W18" s="25"/>
      <c r="X18" s="25"/>
      <c r="Y18" s="25"/>
      <c r="Z18" s="25"/>
      <c r="AA18" s="575"/>
      <c r="AB18" s="575"/>
      <c r="AC18" s="50"/>
      <c r="AD18" s="27"/>
      <c r="AE18" s="20">
        <f t="shared" si="8"/>
        <v>-49.473684210525107</v>
      </c>
      <c r="AF18" s="406">
        <f t="shared" si="9"/>
        <v>0.96701754385964989</v>
      </c>
      <c r="AG18" s="573"/>
    </row>
    <row r="19" spans="1:33" ht="16.5" customHeight="1">
      <c r="A19" s="601" t="s">
        <v>2522</v>
      </c>
      <c r="B19" s="415" t="s">
        <v>74</v>
      </c>
      <c r="C19" s="594" t="s">
        <v>78</v>
      </c>
      <c r="D19" s="594"/>
      <c r="E19" s="39">
        <v>52.86</v>
      </c>
      <c r="F19" s="415">
        <v>1643</v>
      </c>
      <c r="G19" s="407">
        <f t="shared" si="15"/>
        <v>86848.98</v>
      </c>
      <c r="H19" s="48" t="s">
        <v>126</v>
      </c>
      <c r="I19" s="413">
        <v>16</v>
      </c>
      <c r="J19" s="43">
        <v>2000</v>
      </c>
      <c r="K19" s="18">
        <f t="shared" si="1"/>
        <v>125</v>
      </c>
      <c r="L19" s="413">
        <v>16</v>
      </c>
      <c r="M19" s="19">
        <f t="shared" si="16"/>
        <v>1932.9411764705892</v>
      </c>
      <c r="N19" s="18">
        <f t="shared" si="3"/>
        <v>120.80882352941182</v>
      </c>
      <c r="O19" s="20">
        <f t="shared" si="4"/>
        <v>0</v>
      </c>
      <c r="P19" s="21">
        <f t="shared" si="5"/>
        <v>-4.1911764705881751</v>
      </c>
      <c r="Q19" s="406">
        <f t="shared" si="6"/>
        <v>0.96647058823529464</v>
      </c>
      <c r="R19" s="573"/>
      <c r="S19" s="49">
        <v>0.75277777777777777</v>
      </c>
      <c r="T19" s="49">
        <v>0.78819444444444442</v>
      </c>
      <c r="U19" s="407">
        <f t="shared" si="18"/>
        <v>6.9999999999999751</v>
      </c>
      <c r="V19" s="414">
        <f t="shared" si="17"/>
        <v>50.999999999999979</v>
      </c>
      <c r="W19" s="25"/>
      <c r="X19" s="25"/>
      <c r="Y19" s="25"/>
      <c r="Z19" s="25"/>
      <c r="AA19" s="575"/>
      <c r="AB19" s="575"/>
      <c r="AC19" s="50"/>
      <c r="AD19" s="27"/>
      <c r="AE19" s="20">
        <f t="shared" si="8"/>
        <v>-67.058823529410802</v>
      </c>
      <c r="AF19" s="406">
        <f t="shared" si="9"/>
        <v>0.96647058823529464</v>
      </c>
      <c r="AG19" s="573"/>
    </row>
    <row r="20" spans="1:33" ht="16.5" customHeight="1">
      <c r="A20" s="601" t="s">
        <v>50</v>
      </c>
      <c r="B20" s="415" t="s">
        <v>74</v>
      </c>
      <c r="C20" s="594" t="s">
        <v>1826</v>
      </c>
      <c r="D20" s="594"/>
      <c r="E20" s="39">
        <v>51.06</v>
      </c>
      <c r="F20" s="415">
        <v>1800</v>
      </c>
      <c r="G20" s="407">
        <f t="shared" si="15"/>
        <v>91908</v>
      </c>
      <c r="H20" s="48">
        <v>2</v>
      </c>
      <c r="I20" s="413">
        <v>13</v>
      </c>
      <c r="J20" s="43">
        <v>2000</v>
      </c>
      <c r="K20" s="18">
        <f t="shared" si="1"/>
        <v>153.84615384615384</v>
      </c>
      <c r="L20" s="413">
        <v>13</v>
      </c>
      <c r="M20" s="19">
        <f t="shared" si="16"/>
        <v>1928.57142857143</v>
      </c>
      <c r="N20" s="18">
        <f t="shared" si="3"/>
        <v>148.35164835164846</v>
      </c>
      <c r="O20" s="20">
        <f t="shared" si="4"/>
        <v>0</v>
      </c>
      <c r="P20" s="21">
        <f t="shared" si="5"/>
        <v>-5.4945054945053755</v>
      </c>
      <c r="Q20" s="406">
        <f t="shared" si="6"/>
        <v>0.96428571428571508</v>
      </c>
      <c r="R20" s="573"/>
      <c r="S20" s="49">
        <v>0.79166666666666663</v>
      </c>
      <c r="T20" s="49">
        <v>0.83055555555555549</v>
      </c>
      <c r="U20" s="407">
        <f t="shared" si="18"/>
        <v>4.9999999999999822</v>
      </c>
      <c r="V20" s="414">
        <f t="shared" si="17"/>
        <v>55.999999999999957</v>
      </c>
      <c r="W20" s="25">
        <f>T20</f>
        <v>0.83055555555555549</v>
      </c>
      <c r="X20" s="25">
        <f>S21</f>
        <v>0.86944444444444435</v>
      </c>
      <c r="Y20" s="25"/>
      <c r="Z20" s="25"/>
      <c r="AA20" s="575"/>
      <c r="AB20" s="575"/>
      <c r="AC20" s="50"/>
      <c r="AD20" s="27"/>
      <c r="AE20" s="20">
        <f t="shared" si="8"/>
        <v>-71.428571428569967</v>
      </c>
      <c r="AF20" s="406">
        <f t="shared" si="9"/>
        <v>0.96428571428571497</v>
      </c>
      <c r="AG20" s="573"/>
    </row>
    <row r="21" spans="1:33" ht="16.5" customHeight="1">
      <c r="A21" s="601" t="s">
        <v>2522</v>
      </c>
      <c r="B21" s="415" t="s">
        <v>74</v>
      </c>
      <c r="C21" s="594" t="s">
        <v>1826</v>
      </c>
      <c r="D21" s="594"/>
      <c r="E21" s="39">
        <v>51.06</v>
      </c>
      <c r="F21" s="415">
        <v>1609</v>
      </c>
      <c r="G21" s="407">
        <f t="shared" si="15"/>
        <v>82155.540000000008</v>
      </c>
      <c r="H21" s="48" t="s">
        <v>126</v>
      </c>
      <c r="I21" s="413">
        <v>13</v>
      </c>
      <c r="J21" s="43">
        <v>2000</v>
      </c>
      <c r="K21" s="18">
        <f t="shared" si="1"/>
        <v>153.84615384615384</v>
      </c>
      <c r="L21" s="413">
        <v>13</v>
      </c>
      <c r="M21" s="19">
        <f t="shared" si="16"/>
        <v>1930.8000000000004</v>
      </c>
      <c r="N21" s="18">
        <f t="shared" si="3"/>
        <v>148.52307692307696</v>
      </c>
      <c r="O21" s="20">
        <f t="shared" si="4"/>
        <v>0</v>
      </c>
      <c r="P21" s="21">
        <f t="shared" si="5"/>
        <v>-5.3230769230768828</v>
      </c>
      <c r="Q21" s="406">
        <f t="shared" si="6"/>
        <v>0.96540000000000026</v>
      </c>
      <c r="R21" s="573"/>
      <c r="S21" s="49">
        <v>0.86944444444444435</v>
      </c>
      <c r="T21" s="49">
        <v>0.90416666666666656</v>
      </c>
      <c r="U21" s="407">
        <f t="shared" si="18"/>
        <v>55.999999999999957</v>
      </c>
      <c r="V21" s="414">
        <f t="shared" si="17"/>
        <v>49.999999999999986</v>
      </c>
      <c r="W21" s="25"/>
      <c r="X21" s="25"/>
      <c r="Y21" s="25"/>
      <c r="Z21" s="25"/>
      <c r="AA21" s="575"/>
      <c r="AB21" s="575"/>
      <c r="AC21" s="50"/>
      <c r="AD21" s="27"/>
      <c r="AE21" s="20">
        <f t="shared" si="8"/>
        <v>-69.199999999999591</v>
      </c>
      <c r="AF21" s="406">
        <f t="shared" si="9"/>
        <v>0.96540000000000026</v>
      </c>
      <c r="AG21" s="573"/>
    </row>
    <row r="22" spans="1:33" ht="16.5" customHeight="1">
      <c r="A22" s="601" t="s">
        <v>2522</v>
      </c>
      <c r="B22" s="39" t="s">
        <v>2519</v>
      </c>
      <c r="C22" s="576"/>
      <c r="D22" s="576"/>
      <c r="E22" s="408"/>
      <c r="F22" s="42"/>
      <c r="G22" s="18"/>
      <c r="H22" s="415"/>
      <c r="I22" s="32">
        <v>16.8</v>
      </c>
      <c r="J22" s="43">
        <v>1800</v>
      </c>
      <c r="K22" s="18">
        <f t="shared" si="1"/>
        <v>107.14285714285714</v>
      </c>
      <c r="L22" s="32">
        <v>16.8</v>
      </c>
      <c r="M22" s="19">
        <f>AVERAGE(M17:M21)</f>
        <v>1735.9751915737063</v>
      </c>
      <c r="N22" s="18">
        <f t="shared" si="3"/>
        <v>103.33185664129203</v>
      </c>
      <c r="O22" s="20">
        <f t="shared" si="4"/>
        <v>0</v>
      </c>
      <c r="P22" s="21">
        <f t="shared" si="5"/>
        <v>-3.8110005015651041</v>
      </c>
      <c r="Q22" s="406">
        <f t="shared" si="6"/>
        <v>0.9644306619853924</v>
      </c>
      <c r="R22" s="573"/>
      <c r="S22" s="49"/>
      <c r="T22" s="49"/>
      <c r="U22" s="407"/>
      <c r="V22" s="414"/>
      <c r="W22" s="18"/>
      <c r="X22" s="18"/>
      <c r="Y22" s="33">
        <f>SUM(Y17:Y21)</f>
        <v>0</v>
      </c>
      <c r="Z22" s="33">
        <f>SUM(Z17:Z21)</f>
        <v>0</v>
      </c>
      <c r="AA22" s="572"/>
      <c r="AB22" s="572"/>
      <c r="AC22" s="33">
        <v>5</v>
      </c>
      <c r="AD22" s="33">
        <f>SUM(AD17:AD21)</f>
        <v>0</v>
      </c>
      <c r="AE22" s="20">
        <f t="shared" si="8"/>
        <v>-64.024808426293703</v>
      </c>
      <c r="AF22" s="406">
        <f t="shared" si="9"/>
        <v>0.9644306619853924</v>
      </c>
      <c r="AG22" s="573"/>
    </row>
    <row r="23" spans="1:33" ht="15.75" customHeight="1">
      <c r="A23" s="596" t="s">
        <v>2523</v>
      </c>
      <c r="B23" s="39" t="s">
        <v>74</v>
      </c>
      <c r="C23" s="594" t="s">
        <v>84</v>
      </c>
      <c r="D23" s="594"/>
      <c r="E23" s="39">
        <v>54.09</v>
      </c>
      <c r="F23" s="415">
        <v>1993</v>
      </c>
      <c r="G23" s="407">
        <f t="shared" ref="G23:G29" si="19">E23*F23</f>
        <v>107801.37000000001</v>
      </c>
      <c r="H23" s="48" t="s">
        <v>126</v>
      </c>
      <c r="I23" s="413">
        <v>17</v>
      </c>
      <c r="J23" s="43">
        <v>1500</v>
      </c>
      <c r="K23" s="18">
        <f t="shared" si="1"/>
        <v>88.235294117647058</v>
      </c>
      <c r="L23" s="413">
        <v>17</v>
      </c>
      <c r="M23" s="19">
        <f t="shared" ref="M23:M29" si="20">F23/V23*60</f>
        <v>1440.7228915662654</v>
      </c>
      <c r="N23" s="18">
        <f t="shared" si="3"/>
        <v>84.748405386250909</v>
      </c>
      <c r="O23" s="20">
        <f t="shared" si="4"/>
        <v>0</v>
      </c>
      <c r="P23" s="21">
        <f t="shared" si="5"/>
        <v>-3.4868887313961494</v>
      </c>
      <c r="Q23" s="406">
        <f t="shared" si="6"/>
        <v>0.96048192771084362</v>
      </c>
      <c r="R23" s="573">
        <f>Q30</f>
        <v>0.95695143546479366</v>
      </c>
      <c r="S23" s="49">
        <v>0.20833333333333334</v>
      </c>
      <c r="T23" s="49">
        <v>0.26597222222222222</v>
      </c>
      <c r="U23" s="407"/>
      <c r="V23" s="414">
        <f t="shared" ref="V23:V29" si="21">(T23-S23)*24*60</f>
        <v>82.999999999999986</v>
      </c>
      <c r="W23" s="30"/>
      <c r="X23" s="30"/>
      <c r="Y23" s="30"/>
      <c r="Z23" s="30"/>
      <c r="AA23" s="575"/>
      <c r="AB23" s="575"/>
      <c r="AC23" s="50">
        <v>7</v>
      </c>
      <c r="AD23" s="27"/>
      <c r="AE23" s="20">
        <f t="shared" si="8"/>
        <v>-59.277108433734611</v>
      </c>
      <c r="AF23" s="406">
        <f t="shared" si="9"/>
        <v>0.96048192771084362</v>
      </c>
      <c r="AG23" s="573">
        <f>AF30</f>
        <v>0.95695143546479366</v>
      </c>
    </row>
    <row r="24" spans="1:33" ht="15.75" customHeight="1">
      <c r="A24" s="597" t="s">
        <v>2523</v>
      </c>
      <c r="B24" s="39" t="s">
        <v>74</v>
      </c>
      <c r="C24" s="594" t="s">
        <v>89</v>
      </c>
      <c r="D24" s="594"/>
      <c r="E24" s="39">
        <v>50.67</v>
      </c>
      <c r="F24" s="415">
        <v>2191</v>
      </c>
      <c r="G24" s="407">
        <f t="shared" si="19"/>
        <v>111017.97</v>
      </c>
      <c r="H24" s="48" t="s">
        <v>126</v>
      </c>
      <c r="I24" s="413">
        <v>17</v>
      </c>
      <c r="J24" s="43">
        <v>2000</v>
      </c>
      <c r="K24" s="18">
        <f t="shared" si="1"/>
        <v>117.64705882352941</v>
      </c>
      <c r="L24" s="413">
        <v>17</v>
      </c>
      <c r="M24" s="19">
        <f t="shared" si="20"/>
        <v>1905.2173913043478</v>
      </c>
      <c r="N24" s="18">
        <f t="shared" si="3"/>
        <v>112.07161125319692</v>
      </c>
      <c r="O24" s="20">
        <f t="shared" si="4"/>
        <v>0</v>
      </c>
      <c r="P24" s="21">
        <f t="shared" si="5"/>
        <v>-5.5754475703324857</v>
      </c>
      <c r="Q24" s="406">
        <f t="shared" si="6"/>
        <v>0.95260869565217388</v>
      </c>
      <c r="R24" s="573"/>
      <c r="S24" s="49">
        <v>0.27083333333333331</v>
      </c>
      <c r="T24" s="49">
        <v>0.31874999999999998</v>
      </c>
      <c r="U24" s="407">
        <f t="shared" ref="U24:U29" si="22">IF(S24=TIME(17,0,0),"",(S24-T23)*24*60)</f>
        <v>6.9999999999999751</v>
      </c>
      <c r="V24" s="414">
        <f t="shared" si="21"/>
        <v>69</v>
      </c>
      <c r="W24" s="25"/>
      <c r="X24" s="407"/>
      <c r="Y24" s="407"/>
      <c r="Z24" s="407"/>
      <c r="AA24" s="575"/>
      <c r="AB24" s="575"/>
      <c r="AC24" s="50"/>
      <c r="AD24" s="27"/>
      <c r="AE24" s="20">
        <f t="shared" si="8"/>
        <v>-94.782608695652243</v>
      </c>
      <c r="AF24" s="406">
        <f t="shared" si="9"/>
        <v>0.95260869565217388</v>
      </c>
      <c r="AG24" s="573"/>
    </row>
    <row r="25" spans="1:33" ht="15.75" customHeight="1">
      <c r="A25" s="597" t="s">
        <v>2523</v>
      </c>
      <c r="B25" s="39" t="s">
        <v>74</v>
      </c>
      <c r="C25" s="594" t="s">
        <v>90</v>
      </c>
      <c r="D25" s="594"/>
      <c r="E25" s="39">
        <v>57.73</v>
      </c>
      <c r="F25" s="415">
        <v>2683</v>
      </c>
      <c r="G25" s="407">
        <f t="shared" si="19"/>
        <v>154889.59</v>
      </c>
      <c r="H25" s="48" t="s">
        <v>126</v>
      </c>
      <c r="I25" s="413">
        <v>14</v>
      </c>
      <c r="J25" s="43">
        <v>2000</v>
      </c>
      <c r="K25" s="18">
        <f t="shared" si="1"/>
        <v>142.85714285714286</v>
      </c>
      <c r="L25" s="413">
        <v>14</v>
      </c>
      <c r="M25" s="19">
        <f t="shared" si="20"/>
        <v>1916.4285714285706</v>
      </c>
      <c r="N25" s="18">
        <f t="shared" si="3"/>
        <v>136.88775510204076</v>
      </c>
      <c r="O25" s="20">
        <f t="shared" si="4"/>
        <v>0</v>
      </c>
      <c r="P25" s="21">
        <f t="shared" si="5"/>
        <v>-5.9693877551021046</v>
      </c>
      <c r="Q25" s="406">
        <f t="shared" si="6"/>
        <v>0.95821428571428524</v>
      </c>
      <c r="R25" s="573"/>
      <c r="S25" s="49">
        <v>0.32361111111111107</v>
      </c>
      <c r="T25" s="49">
        <v>0.38194444444444442</v>
      </c>
      <c r="U25" s="407">
        <f t="shared" si="22"/>
        <v>6.9999999999999751</v>
      </c>
      <c r="V25" s="414">
        <f t="shared" si="21"/>
        <v>84.000000000000028</v>
      </c>
      <c r="W25" s="25"/>
      <c r="X25" s="407"/>
      <c r="Y25" s="407"/>
      <c r="Z25" s="407"/>
      <c r="AA25" s="575"/>
      <c r="AB25" s="575"/>
      <c r="AC25" s="50"/>
      <c r="AD25" s="27"/>
      <c r="AE25" s="20">
        <f t="shared" si="8"/>
        <v>-83.571428571429351</v>
      </c>
      <c r="AF25" s="406">
        <f t="shared" si="9"/>
        <v>0.95821428571428535</v>
      </c>
      <c r="AG25" s="573"/>
    </row>
    <row r="26" spans="1:33" ht="15.75" customHeight="1">
      <c r="A26" s="597" t="s">
        <v>2523</v>
      </c>
      <c r="B26" s="39" t="s">
        <v>74</v>
      </c>
      <c r="C26" s="594" t="s">
        <v>1232</v>
      </c>
      <c r="D26" s="594"/>
      <c r="E26" s="39">
        <v>53.27</v>
      </c>
      <c r="F26" s="415">
        <v>2432</v>
      </c>
      <c r="G26" s="407">
        <f t="shared" si="19"/>
        <v>129552.64000000001</v>
      </c>
      <c r="H26" s="48" t="s">
        <v>126</v>
      </c>
      <c r="I26" s="413">
        <v>16</v>
      </c>
      <c r="J26" s="43">
        <v>2000</v>
      </c>
      <c r="K26" s="18">
        <f t="shared" si="1"/>
        <v>125</v>
      </c>
      <c r="L26" s="413">
        <v>16</v>
      </c>
      <c r="M26" s="19">
        <f t="shared" si="20"/>
        <v>1920.0000000000009</v>
      </c>
      <c r="N26" s="18">
        <f t="shared" si="3"/>
        <v>120.00000000000006</v>
      </c>
      <c r="O26" s="20">
        <f t="shared" si="4"/>
        <v>0</v>
      </c>
      <c r="P26" s="21">
        <f t="shared" si="5"/>
        <v>-4.9999999999999432</v>
      </c>
      <c r="Q26" s="406">
        <f t="shared" si="6"/>
        <v>0.96000000000000041</v>
      </c>
      <c r="R26" s="573"/>
      <c r="S26" s="49">
        <v>0.38541666666666663</v>
      </c>
      <c r="T26" s="49">
        <v>0.43819444444444439</v>
      </c>
      <c r="U26" s="407">
        <f t="shared" si="22"/>
        <v>4.9999999999999822</v>
      </c>
      <c r="V26" s="414">
        <f t="shared" si="21"/>
        <v>75.999999999999972</v>
      </c>
      <c r="W26" s="25"/>
      <c r="X26" s="407"/>
      <c r="Y26" s="407"/>
      <c r="Z26" s="407"/>
      <c r="AA26" s="575"/>
      <c r="AB26" s="575"/>
      <c r="AC26" s="50"/>
      <c r="AD26" s="27"/>
      <c r="AE26" s="20">
        <f t="shared" si="8"/>
        <v>-79.999999999999091</v>
      </c>
      <c r="AF26" s="406">
        <f t="shared" si="9"/>
        <v>0.96000000000000041</v>
      </c>
      <c r="AG26" s="573"/>
    </row>
    <row r="27" spans="1:33" ht="15.75" customHeight="1">
      <c r="A27" s="597" t="s">
        <v>2523</v>
      </c>
      <c r="B27" s="39" t="s">
        <v>74</v>
      </c>
      <c r="C27" s="594" t="s">
        <v>92</v>
      </c>
      <c r="D27" s="594"/>
      <c r="E27" s="39">
        <v>50.49</v>
      </c>
      <c r="F27" s="415">
        <v>2062</v>
      </c>
      <c r="G27" s="407">
        <f t="shared" si="19"/>
        <v>104110.38</v>
      </c>
      <c r="H27" s="48" t="s">
        <v>126</v>
      </c>
      <c r="I27" s="413">
        <v>15</v>
      </c>
      <c r="J27" s="43">
        <v>2000</v>
      </c>
      <c r="K27" s="18">
        <f t="shared" si="1"/>
        <v>133.33333333333334</v>
      </c>
      <c r="L27" s="413">
        <v>15</v>
      </c>
      <c r="M27" s="19">
        <f t="shared" si="20"/>
        <v>1903.3846153846173</v>
      </c>
      <c r="N27" s="18">
        <f t="shared" si="3"/>
        <v>126.89230769230782</v>
      </c>
      <c r="O27" s="20">
        <f t="shared" si="4"/>
        <v>0</v>
      </c>
      <c r="P27" s="21">
        <f t="shared" si="5"/>
        <v>-6.4410256410255187</v>
      </c>
      <c r="Q27" s="406">
        <f t="shared" si="6"/>
        <v>0.95169230769230861</v>
      </c>
      <c r="R27" s="573"/>
      <c r="S27" s="49">
        <v>0.70833333333333337</v>
      </c>
      <c r="T27" s="49">
        <v>0.75347222222222221</v>
      </c>
      <c r="U27" s="407" t="str">
        <f t="shared" si="22"/>
        <v/>
      </c>
      <c r="V27" s="414">
        <f t="shared" si="21"/>
        <v>64.999999999999929</v>
      </c>
      <c r="W27" s="25"/>
      <c r="X27" s="25"/>
      <c r="Y27" s="407"/>
      <c r="Z27" s="407"/>
      <c r="AA27" s="575"/>
      <c r="AB27" s="575"/>
      <c r="AC27" s="50"/>
      <c r="AD27" s="27"/>
      <c r="AE27" s="20">
        <f t="shared" si="8"/>
        <v>-96.615384615382709</v>
      </c>
      <c r="AF27" s="406">
        <f t="shared" si="9"/>
        <v>0.95169230769230861</v>
      </c>
      <c r="AG27" s="573"/>
    </row>
    <row r="28" spans="1:33" ht="15.75" customHeight="1">
      <c r="A28" s="597" t="s">
        <v>2523</v>
      </c>
      <c r="B28" s="39" t="s">
        <v>74</v>
      </c>
      <c r="C28" s="594" t="s">
        <v>2524</v>
      </c>
      <c r="D28" s="594"/>
      <c r="E28" s="39">
        <v>56.43</v>
      </c>
      <c r="F28" s="415">
        <v>3500</v>
      </c>
      <c r="G28" s="407">
        <f t="shared" si="19"/>
        <v>197505</v>
      </c>
      <c r="H28" s="48">
        <v>2</v>
      </c>
      <c r="I28" s="413">
        <v>13</v>
      </c>
      <c r="J28" s="43">
        <v>2000</v>
      </c>
      <c r="K28" s="18">
        <f t="shared" si="1"/>
        <v>153.84615384615384</v>
      </c>
      <c r="L28" s="413">
        <v>13</v>
      </c>
      <c r="M28" s="19">
        <f t="shared" si="20"/>
        <v>1909.0909090909104</v>
      </c>
      <c r="N28" s="18">
        <f t="shared" si="3"/>
        <v>146.85314685314694</v>
      </c>
      <c r="O28" s="20">
        <f t="shared" si="4"/>
        <v>0</v>
      </c>
      <c r="P28" s="21">
        <f t="shared" si="5"/>
        <v>-6.993006993006901</v>
      </c>
      <c r="Q28" s="406">
        <f t="shared" si="6"/>
        <v>0.95454545454545514</v>
      </c>
      <c r="R28" s="573"/>
      <c r="S28" s="49">
        <v>0.75694444444444442</v>
      </c>
      <c r="T28" s="49">
        <v>0.83333333333333326</v>
      </c>
      <c r="U28" s="407">
        <f t="shared" si="22"/>
        <v>4.9999999999999822</v>
      </c>
      <c r="V28" s="414">
        <f t="shared" si="21"/>
        <v>109.99999999999993</v>
      </c>
      <c r="W28" s="25">
        <f>T28</f>
        <v>0.83333333333333326</v>
      </c>
      <c r="X28" s="25">
        <f>S29</f>
        <v>0.87291666666666656</v>
      </c>
      <c r="Y28" s="30"/>
      <c r="Z28" s="30"/>
      <c r="AA28" s="575"/>
      <c r="AB28" s="575"/>
      <c r="AC28" s="50"/>
      <c r="AD28" s="27"/>
      <c r="AE28" s="20">
        <f t="shared" si="8"/>
        <v>-90.909090909089628</v>
      </c>
      <c r="AF28" s="406">
        <f t="shared" si="9"/>
        <v>0.95454545454545514</v>
      </c>
      <c r="AG28" s="573"/>
    </row>
    <row r="29" spans="1:33" ht="15.75" customHeight="1">
      <c r="A29" s="597" t="s">
        <v>53</v>
      </c>
      <c r="B29" s="39" t="s">
        <v>74</v>
      </c>
      <c r="C29" s="630" t="s">
        <v>2524</v>
      </c>
      <c r="D29" s="631"/>
      <c r="E29" s="39">
        <v>56.43</v>
      </c>
      <c r="F29" s="415">
        <v>1924</v>
      </c>
      <c r="G29" s="407">
        <f t="shared" si="19"/>
        <v>108571.31999999999</v>
      </c>
      <c r="H29" s="48" t="s">
        <v>126</v>
      </c>
      <c r="I29" s="413">
        <v>13</v>
      </c>
      <c r="J29" s="43">
        <v>2000</v>
      </c>
      <c r="K29" s="18">
        <f t="shared" si="1"/>
        <v>153.84615384615384</v>
      </c>
      <c r="L29" s="413">
        <v>13</v>
      </c>
      <c r="M29" s="19">
        <f t="shared" si="20"/>
        <v>1924.0000000000018</v>
      </c>
      <c r="N29" s="18">
        <f t="shared" si="3"/>
        <v>148.00000000000014</v>
      </c>
      <c r="O29" s="20">
        <f t="shared" si="4"/>
        <v>0</v>
      </c>
      <c r="P29" s="21">
        <f t="shared" si="5"/>
        <v>-5.8461538461536975</v>
      </c>
      <c r="Q29" s="406">
        <f t="shared" si="6"/>
        <v>0.96200000000000097</v>
      </c>
      <c r="R29" s="573"/>
      <c r="S29" s="49">
        <v>0.87291666666666656</v>
      </c>
      <c r="T29" s="49">
        <v>0.91458333333333319</v>
      </c>
      <c r="U29" s="407">
        <f t="shared" si="22"/>
        <v>56.999999999999957</v>
      </c>
      <c r="V29" s="414">
        <f t="shared" si="21"/>
        <v>59.999999999999943</v>
      </c>
      <c r="W29" s="25"/>
      <c r="X29" s="30"/>
      <c r="Y29" s="31"/>
      <c r="Z29" s="31"/>
      <c r="AA29" s="568"/>
      <c r="AB29" s="569"/>
      <c r="AC29" s="50"/>
      <c r="AD29" s="27"/>
      <c r="AE29" s="20">
        <f t="shared" si="8"/>
        <v>-75.999999999998181</v>
      </c>
      <c r="AF29" s="406">
        <f t="shared" si="9"/>
        <v>0.96200000000000085</v>
      </c>
      <c r="AG29" s="573"/>
    </row>
    <row r="30" spans="1:33" ht="15.75" customHeight="1">
      <c r="A30" s="597" t="s">
        <v>2523</v>
      </c>
      <c r="B30" s="39" t="s">
        <v>2519</v>
      </c>
      <c r="C30" s="576"/>
      <c r="D30" s="576"/>
      <c r="E30" s="408"/>
      <c r="F30" s="415"/>
      <c r="G30" s="407"/>
      <c r="H30" s="415"/>
      <c r="I30" s="32">
        <v>15</v>
      </c>
      <c r="J30" s="43">
        <v>1928.5714285714287</v>
      </c>
      <c r="K30" s="18">
        <f t="shared" si="1"/>
        <v>128.57142857142858</v>
      </c>
      <c r="L30" s="32">
        <v>15</v>
      </c>
      <c r="M30" s="19">
        <f>AVERAGE(M23:M29)</f>
        <v>1845.5491969678164</v>
      </c>
      <c r="N30" s="18">
        <f t="shared" si="3"/>
        <v>123.03661313118776</v>
      </c>
      <c r="O30" s="20">
        <f t="shared" si="4"/>
        <v>0</v>
      </c>
      <c r="P30" s="21">
        <f t="shared" si="5"/>
        <v>-5.5348154402408198</v>
      </c>
      <c r="Q30" s="406">
        <f t="shared" si="6"/>
        <v>0.95695143546479366</v>
      </c>
      <c r="R30" s="573"/>
      <c r="S30" s="49"/>
      <c r="T30" s="49"/>
      <c r="U30" s="18"/>
      <c r="V30" s="414"/>
      <c r="W30" s="18"/>
      <c r="X30" s="18"/>
      <c r="Y30" s="33">
        <f>SUM(Y23:Y29)</f>
        <v>0</v>
      </c>
      <c r="Z30" s="33">
        <f>SUM(Z23:Z29)</f>
        <v>0</v>
      </c>
      <c r="AA30" s="572"/>
      <c r="AB30" s="572"/>
      <c r="AC30" s="33">
        <v>7</v>
      </c>
      <c r="AD30" s="33">
        <f>SUM(AD23:AD29)</f>
        <v>0</v>
      </c>
      <c r="AE30" s="20">
        <f t="shared" si="8"/>
        <v>-83.022231603612227</v>
      </c>
      <c r="AF30" s="406">
        <f t="shared" si="9"/>
        <v>0.95695143546479366</v>
      </c>
      <c r="AG30" s="573"/>
    </row>
    <row r="31" spans="1:33" ht="15.75" customHeight="1">
      <c r="A31" s="595" t="s">
        <v>56</v>
      </c>
      <c r="B31" s="39" t="s">
        <v>94</v>
      </c>
      <c r="C31" s="594" t="s">
        <v>95</v>
      </c>
      <c r="D31" s="594"/>
      <c r="E31" s="39">
        <v>31.29</v>
      </c>
      <c r="F31" s="415">
        <v>6200</v>
      </c>
      <c r="G31" s="407">
        <f t="shared" ref="G31:G39" si="23">E31*F31</f>
        <v>193998</v>
      </c>
      <c r="H31" s="48">
        <v>2</v>
      </c>
      <c r="I31" s="413">
        <v>18</v>
      </c>
      <c r="J31" s="43">
        <v>2400</v>
      </c>
      <c r="K31" s="18">
        <f t="shared" si="1"/>
        <v>133.33333333333334</v>
      </c>
      <c r="L31" s="413">
        <v>18</v>
      </c>
      <c r="M31" s="19">
        <f t="shared" ref="M31:M39" si="24">F31/V31*60</f>
        <v>2296.2962962962965</v>
      </c>
      <c r="N31" s="18">
        <f t="shared" si="3"/>
        <v>127.57201646090536</v>
      </c>
      <c r="O31" s="20">
        <f t="shared" si="4"/>
        <v>0</v>
      </c>
      <c r="P31" s="21">
        <f t="shared" si="5"/>
        <v>-5.7613168724279831</v>
      </c>
      <c r="Q31" s="406">
        <f t="shared" si="6"/>
        <v>0.95679012345679015</v>
      </c>
      <c r="R31" s="573">
        <f>Q40</f>
        <v>0.95743949311257226</v>
      </c>
      <c r="S31" s="49">
        <v>8.3333333333333329E-2</v>
      </c>
      <c r="T31" s="49">
        <v>0.19583333333333333</v>
      </c>
      <c r="U31" s="407"/>
      <c r="V31" s="414">
        <f t="shared" ref="V31:V39" si="25">(T31-S31)*24*60</f>
        <v>162</v>
      </c>
      <c r="W31" s="25">
        <f>T31</f>
        <v>0.19583333333333333</v>
      </c>
      <c r="X31" s="25">
        <f>S32</f>
        <v>0.21388888888888888</v>
      </c>
      <c r="Y31" s="25"/>
      <c r="Z31" s="25"/>
      <c r="AA31" s="575"/>
      <c r="AB31" s="575"/>
      <c r="AC31" s="50">
        <v>9</v>
      </c>
      <c r="AD31" s="27"/>
      <c r="AE31" s="20">
        <f t="shared" si="8"/>
        <v>-103.70370370370347</v>
      </c>
      <c r="AF31" s="406">
        <f t="shared" si="9"/>
        <v>0.95679012345679026</v>
      </c>
      <c r="AG31" s="573">
        <f>AF40</f>
        <v>0.95743949311257226</v>
      </c>
    </row>
    <row r="32" spans="1:33" ht="15.75" customHeight="1">
      <c r="A32" s="595" t="s">
        <v>2525</v>
      </c>
      <c r="B32" s="39" t="s">
        <v>94</v>
      </c>
      <c r="C32" s="594" t="s">
        <v>97</v>
      </c>
      <c r="D32" s="594"/>
      <c r="E32" s="39">
        <v>26.37</v>
      </c>
      <c r="F32" s="415">
        <v>4200</v>
      </c>
      <c r="G32" s="407">
        <f t="shared" si="23"/>
        <v>110754</v>
      </c>
      <c r="H32" s="48">
        <v>2</v>
      </c>
      <c r="I32" s="413">
        <v>18</v>
      </c>
      <c r="J32" s="43">
        <v>2400</v>
      </c>
      <c r="K32" s="18">
        <f t="shared" si="1"/>
        <v>133.33333333333334</v>
      </c>
      <c r="L32" s="413">
        <v>18</v>
      </c>
      <c r="M32" s="19">
        <f t="shared" si="24"/>
        <v>2290.9090909090914</v>
      </c>
      <c r="N32" s="18">
        <f t="shared" si="3"/>
        <v>127.27272727272731</v>
      </c>
      <c r="O32" s="20">
        <f t="shared" si="4"/>
        <v>0</v>
      </c>
      <c r="P32" s="21">
        <f t="shared" si="5"/>
        <v>-6.0606060606060339</v>
      </c>
      <c r="Q32" s="406">
        <f t="shared" si="6"/>
        <v>0.9545454545454547</v>
      </c>
      <c r="R32" s="573"/>
      <c r="S32" s="49">
        <v>0.21388888888888888</v>
      </c>
      <c r="T32" s="49">
        <v>0.29027777777777775</v>
      </c>
      <c r="U32" s="407">
        <f t="shared" ref="U32:U39" si="26">(S32-T31)*24*60</f>
        <v>25.999999999999986</v>
      </c>
      <c r="V32" s="414">
        <f t="shared" si="25"/>
        <v>109.99999999999997</v>
      </c>
      <c r="W32" s="25"/>
      <c r="X32" s="25"/>
      <c r="Y32" s="25"/>
      <c r="Z32" s="25"/>
      <c r="AA32" s="575"/>
      <c r="AB32" s="575"/>
      <c r="AC32" s="50"/>
      <c r="AD32" s="27"/>
      <c r="AE32" s="20">
        <f t="shared" si="8"/>
        <v>-109.09090909090855</v>
      </c>
      <c r="AF32" s="406">
        <f t="shared" si="9"/>
        <v>0.95454545454545481</v>
      </c>
      <c r="AG32" s="573"/>
    </row>
    <row r="33" spans="1:33" ht="15.75" customHeight="1">
      <c r="A33" s="595" t="s">
        <v>2526</v>
      </c>
      <c r="B33" s="39" t="s">
        <v>94</v>
      </c>
      <c r="C33" s="594" t="s">
        <v>1231</v>
      </c>
      <c r="D33" s="594"/>
      <c r="E33" s="39">
        <v>25.99</v>
      </c>
      <c r="F33" s="415">
        <v>2600</v>
      </c>
      <c r="G33" s="407">
        <f t="shared" si="23"/>
        <v>67574</v>
      </c>
      <c r="H33" s="48">
        <v>2</v>
      </c>
      <c r="I33" s="413">
        <v>18</v>
      </c>
      <c r="J33" s="43">
        <v>2400</v>
      </c>
      <c r="K33" s="18">
        <f t="shared" si="1"/>
        <v>133.33333333333334</v>
      </c>
      <c r="L33" s="413">
        <v>18</v>
      </c>
      <c r="M33" s="19">
        <f t="shared" si="24"/>
        <v>2294.1176470588234</v>
      </c>
      <c r="N33" s="18">
        <f t="shared" si="3"/>
        <v>127.45098039215685</v>
      </c>
      <c r="O33" s="20">
        <f t="shared" si="4"/>
        <v>0</v>
      </c>
      <c r="P33" s="21">
        <f t="shared" si="5"/>
        <v>-5.8823529411764923</v>
      </c>
      <c r="Q33" s="406">
        <f t="shared" si="6"/>
        <v>0.95588235294117629</v>
      </c>
      <c r="R33" s="573"/>
      <c r="S33" s="49">
        <v>0.2944444444444444</v>
      </c>
      <c r="T33" s="49">
        <v>0.34166666666666662</v>
      </c>
      <c r="U33" s="407">
        <f t="shared" si="26"/>
        <v>5.9999999999999787</v>
      </c>
      <c r="V33" s="414">
        <f t="shared" si="25"/>
        <v>68</v>
      </c>
      <c r="W33" s="25"/>
      <c r="X33" s="25"/>
      <c r="Y33" s="25"/>
      <c r="Z33" s="25"/>
      <c r="AA33" s="575"/>
      <c r="AB33" s="575"/>
      <c r="AC33" s="50"/>
      <c r="AD33" s="27"/>
      <c r="AE33" s="20">
        <f t="shared" si="8"/>
        <v>-105.88235294117658</v>
      </c>
      <c r="AF33" s="406">
        <f t="shared" si="9"/>
        <v>0.95588235294117641</v>
      </c>
      <c r="AG33" s="573"/>
    </row>
    <row r="34" spans="1:33" ht="15.75" customHeight="1">
      <c r="A34" s="595" t="s">
        <v>56</v>
      </c>
      <c r="B34" s="39" t="s">
        <v>94</v>
      </c>
      <c r="C34" s="594" t="s">
        <v>529</v>
      </c>
      <c r="D34" s="594"/>
      <c r="E34" s="39">
        <v>26.18</v>
      </c>
      <c r="F34" s="415">
        <v>4900</v>
      </c>
      <c r="G34" s="407">
        <f t="shared" si="23"/>
        <v>128282</v>
      </c>
      <c r="H34" s="48">
        <v>2</v>
      </c>
      <c r="I34" s="413">
        <v>18</v>
      </c>
      <c r="J34" s="43">
        <v>2400</v>
      </c>
      <c r="K34" s="18">
        <f t="shared" si="1"/>
        <v>133.33333333333334</v>
      </c>
      <c r="L34" s="413">
        <v>18</v>
      </c>
      <c r="M34" s="19">
        <f t="shared" si="24"/>
        <v>2296.8749999999995</v>
      </c>
      <c r="N34" s="18">
        <f t="shared" si="3"/>
        <v>127.60416666666664</v>
      </c>
      <c r="O34" s="20">
        <f t="shared" si="4"/>
        <v>0</v>
      </c>
      <c r="P34" s="21">
        <f t="shared" si="5"/>
        <v>-5.7291666666666998</v>
      </c>
      <c r="Q34" s="406">
        <f t="shared" si="6"/>
        <v>0.95703124999999978</v>
      </c>
      <c r="R34" s="573"/>
      <c r="S34" s="49">
        <v>0.34722222222222215</v>
      </c>
      <c r="T34" s="49">
        <v>0.43611111111111106</v>
      </c>
      <c r="U34" s="407">
        <f t="shared" si="26"/>
        <v>7.9999999999999716</v>
      </c>
      <c r="V34" s="414">
        <f t="shared" si="25"/>
        <v>128.00000000000003</v>
      </c>
      <c r="W34" s="25"/>
      <c r="X34" s="25"/>
      <c r="Y34" s="25"/>
      <c r="Z34" s="25"/>
      <c r="AA34" s="575"/>
      <c r="AB34" s="575"/>
      <c r="AC34" s="50"/>
      <c r="AD34" s="27"/>
      <c r="AE34" s="20">
        <f t="shared" si="8"/>
        <v>-103.12500000000045</v>
      </c>
      <c r="AF34" s="406">
        <f t="shared" si="9"/>
        <v>0.95703124999999978</v>
      </c>
      <c r="AG34" s="573"/>
    </row>
    <row r="35" spans="1:33" ht="15.75" customHeight="1">
      <c r="A35" s="595" t="s">
        <v>2525</v>
      </c>
      <c r="B35" s="39" t="s">
        <v>94</v>
      </c>
      <c r="C35" s="594" t="s">
        <v>98</v>
      </c>
      <c r="D35" s="594"/>
      <c r="E35" s="39">
        <v>25.99</v>
      </c>
      <c r="F35" s="415">
        <v>2500</v>
      </c>
      <c r="G35" s="407">
        <f t="shared" si="23"/>
        <v>64974.999999999993</v>
      </c>
      <c r="H35" s="48">
        <v>2</v>
      </c>
      <c r="I35" s="413">
        <v>14</v>
      </c>
      <c r="J35" s="43">
        <v>2400</v>
      </c>
      <c r="K35" s="18">
        <f t="shared" si="1"/>
        <v>171.42857142857142</v>
      </c>
      <c r="L35" s="413">
        <v>14</v>
      </c>
      <c r="M35" s="19">
        <f t="shared" si="24"/>
        <v>2307.6923076923072</v>
      </c>
      <c r="N35" s="18">
        <f t="shared" si="3"/>
        <v>164.83516483516479</v>
      </c>
      <c r="O35" s="20">
        <f t="shared" si="4"/>
        <v>0</v>
      </c>
      <c r="P35" s="21">
        <f t="shared" si="5"/>
        <v>-6.5934065934066268</v>
      </c>
      <c r="Q35" s="406">
        <f t="shared" si="6"/>
        <v>0.96153846153846134</v>
      </c>
      <c r="R35" s="573"/>
      <c r="S35" s="49">
        <v>0.43958333333333327</v>
      </c>
      <c r="T35" s="49">
        <v>0.48472222222222217</v>
      </c>
      <c r="U35" s="407">
        <f t="shared" si="26"/>
        <v>4.9999999999999822</v>
      </c>
      <c r="V35" s="414">
        <f t="shared" si="25"/>
        <v>65.000000000000014</v>
      </c>
      <c r="W35" s="25">
        <f>T35</f>
        <v>0.48472222222222217</v>
      </c>
      <c r="X35" s="25">
        <f>S36</f>
        <v>0.5263888888888888</v>
      </c>
      <c r="Y35" s="25"/>
      <c r="Z35" s="25"/>
      <c r="AA35" s="575"/>
      <c r="AB35" s="575"/>
      <c r="AC35" s="50"/>
      <c r="AD35" s="27"/>
      <c r="AE35" s="20">
        <f t="shared" si="8"/>
        <v>-92.307692307692832</v>
      </c>
      <c r="AF35" s="406">
        <f t="shared" si="9"/>
        <v>0.96153846153846134</v>
      </c>
      <c r="AG35" s="573"/>
    </row>
    <row r="36" spans="1:33" ht="15.75" customHeight="1">
      <c r="A36" s="595" t="s">
        <v>2526</v>
      </c>
      <c r="B36" s="39" t="s">
        <v>94</v>
      </c>
      <c r="C36" s="594" t="s">
        <v>95</v>
      </c>
      <c r="D36" s="594"/>
      <c r="E36" s="39">
        <v>31.29</v>
      </c>
      <c r="F36" s="415">
        <v>4540</v>
      </c>
      <c r="G36" s="407">
        <f t="shared" si="23"/>
        <v>142056.6</v>
      </c>
      <c r="H36" s="48" t="s">
        <v>126</v>
      </c>
      <c r="I36" s="413">
        <v>18</v>
      </c>
      <c r="J36" s="43">
        <v>2400</v>
      </c>
      <c r="K36" s="18">
        <f t="shared" si="1"/>
        <v>133.33333333333334</v>
      </c>
      <c r="L36" s="413">
        <v>18</v>
      </c>
      <c r="M36" s="19">
        <f t="shared" si="24"/>
        <v>2289.0756302520999</v>
      </c>
      <c r="N36" s="18">
        <f t="shared" si="3"/>
        <v>127.17086834733888</v>
      </c>
      <c r="O36" s="20">
        <f t="shared" si="4"/>
        <v>0</v>
      </c>
      <c r="P36" s="21">
        <f t="shared" si="5"/>
        <v>-6.1624649859944611</v>
      </c>
      <c r="Q36" s="406">
        <f t="shared" si="6"/>
        <v>0.95378151260504151</v>
      </c>
      <c r="R36" s="573"/>
      <c r="S36" s="49">
        <v>0.5263888888888888</v>
      </c>
      <c r="T36" s="49">
        <v>0.60902777777777772</v>
      </c>
      <c r="U36" s="407">
        <f t="shared" si="26"/>
        <v>59.999999999999943</v>
      </c>
      <c r="V36" s="414">
        <f t="shared" si="25"/>
        <v>119.00000000000006</v>
      </c>
      <c r="W36" s="25"/>
      <c r="X36" s="25"/>
      <c r="Y36" s="25"/>
      <c r="Z36" s="25"/>
      <c r="AA36" s="575"/>
      <c r="AB36" s="575"/>
      <c r="AC36" s="50"/>
      <c r="AD36" s="27"/>
      <c r="AE36" s="20">
        <f t="shared" si="8"/>
        <v>-110.92436974790007</v>
      </c>
      <c r="AF36" s="406">
        <f t="shared" si="9"/>
        <v>0.95378151260504163</v>
      </c>
      <c r="AG36" s="573"/>
    </row>
    <row r="37" spans="1:33" ht="15.75" customHeight="1">
      <c r="A37" s="595" t="s">
        <v>56</v>
      </c>
      <c r="B37" s="39" t="s">
        <v>94</v>
      </c>
      <c r="C37" s="594" t="s">
        <v>529</v>
      </c>
      <c r="D37" s="594"/>
      <c r="E37" s="39">
        <v>26.18</v>
      </c>
      <c r="F37" s="415">
        <v>3591</v>
      </c>
      <c r="G37" s="407">
        <f t="shared" si="23"/>
        <v>94012.38</v>
      </c>
      <c r="H37" s="48" t="s">
        <v>126</v>
      </c>
      <c r="I37" s="413">
        <v>18</v>
      </c>
      <c r="J37" s="43">
        <v>2400</v>
      </c>
      <c r="K37" s="18">
        <f t="shared" si="1"/>
        <v>133.33333333333334</v>
      </c>
      <c r="L37" s="413">
        <v>18</v>
      </c>
      <c r="M37" s="19">
        <f t="shared" si="24"/>
        <v>2292.1276595744685</v>
      </c>
      <c r="N37" s="18">
        <f t="shared" si="3"/>
        <v>127.34042553191492</v>
      </c>
      <c r="O37" s="20">
        <f t="shared" si="4"/>
        <v>0</v>
      </c>
      <c r="P37" s="21">
        <f t="shared" si="5"/>
        <v>-5.9929078014184256</v>
      </c>
      <c r="Q37" s="406">
        <f t="shared" si="6"/>
        <v>0.95505319148936185</v>
      </c>
      <c r="R37" s="573"/>
      <c r="S37" s="49">
        <v>0.61249999999999993</v>
      </c>
      <c r="T37" s="49">
        <v>0.6777777777777777</v>
      </c>
      <c r="U37" s="407">
        <f t="shared" si="26"/>
        <v>4.9999999999999822</v>
      </c>
      <c r="V37" s="414">
        <f t="shared" si="25"/>
        <v>93.999999999999986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8"/>
        <v>-107.87234042553155</v>
      </c>
      <c r="AF37" s="406">
        <f t="shared" si="9"/>
        <v>0.95505319148936185</v>
      </c>
      <c r="AG37" s="573"/>
    </row>
    <row r="38" spans="1:33" ht="15.75" customHeight="1">
      <c r="A38" s="595" t="s">
        <v>2525</v>
      </c>
      <c r="B38" s="39" t="s">
        <v>94</v>
      </c>
      <c r="C38" s="417" t="s">
        <v>97</v>
      </c>
      <c r="D38" s="418"/>
      <c r="E38" s="39">
        <v>26.37</v>
      </c>
      <c r="F38" s="415">
        <v>2991</v>
      </c>
      <c r="G38" s="407">
        <f t="shared" si="23"/>
        <v>78872.67</v>
      </c>
      <c r="H38" s="48" t="s">
        <v>126</v>
      </c>
      <c r="I38" s="413">
        <v>18</v>
      </c>
      <c r="J38" s="43">
        <v>2400</v>
      </c>
      <c r="K38" s="18">
        <f t="shared" si="1"/>
        <v>133.33333333333334</v>
      </c>
      <c r="L38" s="413">
        <v>18</v>
      </c>
      <c r="M38" s="19">
        <f t="shared" si="24"/>
        <v>2300.7692307692296</v>
      </c>
      <c r="N38" s="18">
        <f t="shared" si="3"/>
        <v>127.82051282051276</v>
      </c>
      <c r="O38" s="20">
        <f t="shared" si="4"/>
        <v>0</v>
      </c>
      <c r="P38" s="21">
        <f t="shared" si="5"/>
        <v>-5.5128205128205821</v>
      </c>
      <c r="Q38" s="406">
        <f t="shared" si="6"/>
        <v>0.95865384615384563</v>
      </c>
      <c r="R38" s="573"/>
      <c r="S38" s="49">
        <v>0.68194444444444435</v>
      </c>
      <c r="T38" s="49">
        <v>0.73611111111111105</v>
      </c>
      <c r="U38" s="407">
        <f t="shared" si="26"/>
        <v>5.9999999999999787</v>
      </c>
      <c r="V38" s="414">
        <f t="shared" si="25"/>
        <v>78.000000000000043</v>
      </c>
      <c r="W38" s="25"/>
      <c r="X38" s="25"/>
      <c r="Y38" s="25"/>
      <c r="Z38" s="25"/>
      <c r="AA38" s="411"/>
      <c r="AB38" s="412"/>
      <c r="AC38" s="50"/>
      <c r="AD38" s="27"/>
      <c r="AE38" s="20">
        <f t="shared" si="8"/>
        <v>-99.23076923077042</v>
      </c>
      <c r="AF38" s="406">
        <f t="shared" si="9"/>
        <v>0.95865384615384563</v>
      </c>
      <c r="AG38" s="573"/>
    </row>
    <row r="39" spans="1:33" ht="15.75" customHeight="1">
      <c r="A39" s="595" t="s">
        <v>2526</v>
      </c>
      <c r="B39" s="39" t="s">
        <v>94</v>
      </c>
      <c r="C39" s="630" t="s">
        <v>98</v>
      </c>
      <c r="D39" s="631"/>
      <c r="E39" s="39">
        <v>25.99</v>
      </c>
      <c r="F39" s="415">
        <v>2043</v>
      </c>
      <c r="G39" s="407">
        <f t="shared" si="23"/>
        <v>53097.57</v>
      </c>
      <c r="H39" s="48" t="s">
        <v>126</v>
      </c>
      <c r="I39" s="413">
        <v>14</v>
      </c>
      <c r="J39" s="43">
        <v>2400</v>
      </c>
      <c r="K39" s="18">
        <f t="shared" si="1"/>
        <v>171.42857142857142</v>
      </c>
      <c r="L39" s="413">
        <v>14</v>
      </c>
      <c r="M39" s="19">
        <f t="shared" si="24"/>
        <v>2312.8301886792465</v>
      </c>
      <c r="N39" s="18">
        <f t="shared" si="3"/>
        <v>165.20215633423189</v>
      </c>
      <c r="O39" s="20">
        <f t="shared" si="4"/>
        <v>0</v>
      </c>
      <c r="P39" s="21">
        <f t="shared" si="5"/>
        <v>-6.2264150943395293</v>
      </c>
      <c r="Q39" s="406">
        <f t="shared" si="6"/>
        <v>0.9636792452830194</v>
      </c>
      <c r="R39" s="573"/>
      <c r="S39" s="49">
        <v>0.7402777777777777</v>
      </c>
      <c r="T39" s="49">
        <v>0.77708333333333324</v>
      </c>
      <c r="U39" s="407">
        <f t="shared" si="26"/>
        <v>5.9999999999999787</v>
      </c>
      <c r="V39" s="414">
        <f t="shared" si="25"/>
        <v>52.999999999999972</v>
      </c>
      <c r="W39" s="25"/>
      <c r="X39" s="25"/>
      <c r="Y39" s="28"/>
      <c r="Z39" s="28"/>
      <c r="AA39" s="411"/>
      <c r="AB39" s="412"/>
      <c r="AC39" s="50"/>
      <c r="AD39" s="27"/>
      <c r="AE39" s="20">
        <f t="shared" si="8"/>
        <v>-87.169811320753524</v>
      </c>
      <c r="AF39" s="406">
        <f t="shared" si="9"/>
        <v>0.9636792452830194</v>
      </c>
      <c r="AG39" s="573"/>
    </row>
    <row r="40" spans="1:33" ht="15.75" customHeight="1">
      <c r="A40" s="595" t="s">
        <v>2525</v>
      </c>
      <c r="B40" s="39" t="s">
        <v>2519</v>
      </c>
      <c r="C40" s="576"/>
      <c r="D40" s="576"/>
      <c r="E40" s="408"/>
      <c r="F40" s="415"/>
      <c r="G40" s="407"/>
      <c r="H40" s="415"/>
      <c r="I40" s="32">
        <v>17.111111111111111</v>
      </c>
      <c r="J40" s="43">
        <v>2400</v>
      </c>
      <c r="K40" s="18">
        <f t="shared" si="1"/>
        <v>140.25974025974025</v>
      </c>
      <c r="L40" s="32">
        <v>17.111111111111111</v>
      </c>
      <c r="M40" s="19">
        <f>AVERAGE(M31:M39)</f>
        <v>2297.8547834701735</v>
      </c>
      <c r="N40" s="18">
        <f t="shared" si="3"/>
        <v>134.29021461838676</v>
      </c>
      <c r="O40" s="20">
        <f t="shared" si="4"/>
        <v>0</v>
      </c>
      <c r="P40" s="21">
        <f t="shared" si="5"/>
        <v>-5.9695256413534992</v>
      </c>
      <c r="Q40" s="406">
        <f t="shared" si="6"/>
        <v>0.95743949311257226</v>
      </c>
      <c r="R40" s="573"/>
      <c r="S40" s="49"/>
      <c r="T40" s="49"/>
      <c r="U40" s="407"/>
      <c r="V40" s="414"/>
      <c r="W40" s="407"/>
      <c r="X40" s="407"/>
      <c r="Y40" s="33">
        <f>SUM(Y31:Y39)</f>
        <v>0</v>
      </c>
      <c r="Z40" s="33">
        <f>SUM(Z31:Z39)</f>
        <v>0</v>
      </c>
      <c r="AA40" s="572"/>
      <c r="AB40" s="572"/>
      <c r="AC40" s="33">
        <v>9</v>
      </c>
      <c r="AD40" s="33">
        <f>SUM(AD31:AD39)</f>
        <v>0</v>
      </c>
      <c r="AE40" s="20">
        <f t="shared" si="8"/>
        <v>-102.14521652982648</v>
      </c>
      <c r="AF40" s="406">
        <f t="shared" si="9"/>
        <v>0.95743949311257226</v>
      </c>
      <c r="AG40" s="573"/>
    </row>
    <row r="41" spans="1:33" ht="15.75" customHeight="1">
      <c r="A41" s="592" t="s">
        <v>2527</v>
      </c>
      <c r="B41" s="39" t="s">
        <v>94</v>
      </c>
      <c r="C41" s="574" t="s">
        <v>530</v>
      </c>
      <c r="D41" s="574"/>
      <c r="E41" s="39">
        <v>26.18</v>
      </c>
      <c r="F41" s="415">
        <v>4200</v>
      </c>
      <c r="G41" s="407">
        <f t="shared" ref="G41:G49" si="27">E41*F41</f>
        <v>109956</v>
      </c>
      <c r="H41" s="48">
        <v>2</v>
      </c>
      <c r="I41" s="413">
        <v>20</v>
      </c>
      <c r="J41" s="43">
        <v>2400</v>
      </c>
      <c r="K41" s="18">
        <f t="shared" si="1"/>
        <v>120</v>
      </c>
      <c r="L41" s="413">
        <v>20</v>
      </c>
      <c r="M41" s="19">
        <f t="shared" ref="M41:M49" si="28">F41/V41*60</f>
        <v>2290.909090909091</v>
      </c>
      <c r="N41" s="18">
        <f t="shared" si="3"/>
        <v>114.54545454545455</v>
      </c>
      <c r="O41" s="20">
        <f t="shared" si="4"/>
        <v>0</v>
      </c>
      <c r="P41" s="21">
        <f t="shared" si="5"/>
        <v>-5.4545454545454533</v>
      </c>
      <c r="Q41" s="406">
        <f t="shared" si="6"/>
        <v>0.95454545454545459</v>
      </c>
      <c r="R41" s="573">
        <f>Q50</f>
        <v>0.95502804415066378</v>
      </c>
      <c r="S41" s="49">
        <v>8.3333333333333329E-2</v>
      </c>
      <c r="T41" s="49">
        <v>0.15972222222222221</v>
      </c>
      <c r="U41" s="407"/>
      <c r="V41" s="414">
        <f t="shared" ref="V41:V49" si="29">(T41-S41)*24*60</f>
        <v>109.99999999999999</v>
      </c>
      <c r="W41" s="30">
        <f>T41</f>
        <v>0.15972222222222221</v>
      </c>
      <c r="X41" s="30">
        <f>S42</f>
        <v>0.18124999999999999</v>
      </c>
      <c r="Y41" s="30"/>
      <c r="Z41" s="30"/>
      <c r="AA41" s="575"/>
      <c r="AB41" s="575"/>
      <c r="AC41" s="50">
        <v>9</v>
      </c>
      <c r="AD41" s="27"/>
      <c r="AE41" s="20">
        <f t="shared" si="8"/>
        <v>-109.09090909090901</v>
      </c>
      <c r="AF41" s="406">
        <f t="shared" si="9"/>
        <v>0.95454545454545459</v>
      </c>
      <c r="AG41" s="573">
        <f>AF50</f>
        <v>0.95502804415066367</v>
      </c>
    </row>
    <row r="42" spans="1:33" ht="15.75" customHeight="1">
      <c r="A42" s="592" t="s">
        <v>2528</v>
      </c>
      <c r="B42" s="39" t="s">
        <v>94</v>
      </c>
      <c r="C42" s="574" t="s">
        <v>100</v>
      </c>
      <c r="D42" s="574"/>
      <c r="E42" s="39">
        <v>24.43</v>
      </c>
      <c r="F42" s="415">
        <v>4100</v>
      </c>
      <c r="G42" s="407">
        <f t="shared" si="27"/>
        <v>100163</v>
      </c>
      <c r="H42" s="48">
        <v>2</v>
      </c>
      <c r="I42" s="413">
        <v>14</v>
      </c>
      <c r="J42" s="43">
        <v>2400</v>
      </c>
      <c r="K42" s="18">
        <f t="shared" si="1"/>
        <v>171.42857142857142</v>
      </c>
      <c r="L42" s="413">
        <v>14</v>
      </c>
      <c r="M42" s="19">
        <f t="shared" si="28"/>
        <v>2299.065420560748</v>
      </c>
      <c r="N42" s="18">
        <f t="shared" si="3"/>
        <v>164.21895861148201</v>
      </c>
      <c r="O42" s="20">
        <f t="shared" si="4"/>
        <v>0</v>
      </c>
      <c r="P42" s="21">
        <f t="shared" si="5"/>
        <v>-7.2096128170894076</v>
      </c>
      <c r="Q42" s="406">
        <f t="shared" si="6"/>
        <v>0.95794392523364513</v>
      </c>
      <c r="R42" s="573"/>
      <c r="S42" s="49">
        <v>0.18124999999999999</v>
      </c>
      <c r="T42" s="49">
        <v>0.25555555555555554</v>
      </c>
      <c r="U42" s="407">
        <f t="shared" ref="U42:U49" si="30">(S42-T41)*24*60</f>
        <v>31.000000000000011</v>
      </c>
      <c r="V42" s="414">
        <f t="shared" si="29"/>
        <v>106.99999999999999</v>
      </c>
      <c r="W42" s="407"/>
      <c r="X42" s="407"/>
      <c r="Y42" s="407"/>
      <c r="Z42" s="407"/>
      <c r="AA42" s="575"/>
      <c r="AB42" s="575"/>
      <c r="AC42" s="50"/>
      <c r="AD42" s="27"/>
      <c r="AE42" s="20">
        <f t="shared" si="8"/>
        <v>-100.93457943925205</v>
      </c>
      <c r="AF42" s="406">
        <f t="shared" si="9"/>
        <v>0.95794392523364502</v>
      </c>
      <c r="AG42" s="573"/>
    </row>
    <row r="43" spans="1:33">
      <c r="A43" s="593" t="s">
        <v>2527</v>
      </c>
      <c r="B43" s="39" t="s">
        <v>94</v>
      </c>
      <c r="C43" s="574" t="s">
        <v>102</v>
      </c>
      <c r="D43" s="574"/>
      <c r="E43" s="39">
        <v>34.1</v>
      </c>
      <c r="F43" s="415">
        <v>4100</v>
      </c>
      <c r="G43" s="407">
        <f t="shared" si="27"/>
        <v>139810</v>
      </c>
      <c r="H43" s="48">
        <v>2</v>
      </c>
      <c r="I43" s="413">
        <v>17</v>
      </c>
      <c r="J43" s="43">
        <v>1600</v>
      </c>
      <c r="K43" s="18">
        <f t="shared" si="1"/>
        <v>94.117647058823536</v>
      </c>
      <c r="L43" s="413">
        <v>17</v>
      </c>
      <c r="M43" s="19">
        <f t="shared" si="28"/>
        <v>1527.9503105590063</v>
      </c>
      <c r="N43" s="18">
        <f t="shared" si="3"/>
        <v>89.879430032882723</v>
      </c>
      <c r="O43" s="20">
        <f t="shared" si="4"/>
        <v>0</v>
      </c>
      <c r="P43" s="21">
        <f t="shared" si="5"/>
        <v>-4.2382170259408127</v>
      </c>
      <c r="Q43" s="406">
        <f t="shared" si="6"/>
        <v>0.95496894409937882</v>
      </c>
      <c r="R43" s="573"/>
      <c r="S43" s="49">
        <v>0.26111111111111107</v>
      </c>
      <c r="T43" s="49">
        <v>0.37291666666666662</v>
      </c>
      <c r="U43" s="407">
        <f t="shared" si="30"/>
        <v>7.9999999999999716</v>
      </c>
      <c r="V43" s="414">
        <f t="shared" si="29"/>
        <v>161</v>
      </c>
      <c r="W43" s="407"/>
      <c r="X43" s="407"/>
      <c r="Y43" s="407"/>
      <c r="Z43" s="407"/>
      <c r="AA43" s="575"/>
      <c r="AB43" s="575"/>
      <c r="AC43" s="50"/>
      <c r="AD43" s="27"/>
      <c r="AE43" s="20">
        <f t="shared" si="8"/>
        <v>-72.049689440993689</v>
      </c>
      <c r="AF43" s="406">
        <f t="shared" si="9"/>
        <v>0.95496894409937894</v>
      </c>
      <c r="AG43" s="573"/>
    </row>
    <row r="44" spans="1:33">
      <c r="A44" s="593" t="s">
        <v>2527</v>
      </c>
      <c r="B44" s="39" t="s">
        <v>94</v>
      </c>
      <c r="C44" s="574" t="s">
        <v>101</v>
      </c>
      <c r="D44" s="574"/>
      <c r="E44" s="39">
        <v>25.98</v>
      </c>
      <c r="F44" s="415">
        <v>3433</v>
      </c>
      <c r="G44" s="407">
        <f t="shared" si="27"/>
        <v>89189.34</v>
      </c>
      <c r="H44" s="48" t="s">
        <v>126</v>
      </c>
      <c r="I44" s="413">
        <v>19</v>
      </c>
      <c r="J44" s="43">
        <v>2400</v>
      </c>
      <c r="K44" s="18">
        <f t="shared" si="1"/>
        <v>126.31578947368421</v>
      </c>
      <c r="L44" s="413">
        <v>19</v>
      </c>
      <c r="M44" s="19">
        <f t="shared" si="28"/>
        <v>2288.666666666667</v>
      </c>
      <c r="N44" s="18">
        <f t="shared" si="3"/>
        <v>120.45614035087721</v>
      </c>
      <c r="O44" s="20">
        <f t="shared" si="4"/>
        <v>0</v>
      </c>
      <c r="P44" s="21">
        <f t="shared" si="5"/>
        <v>-5.8596491228069993</v>
      </c>
      <c r="Q44" s="406">
        <f t="shared" si="6"/>
        <v>0.9536111111111113</v>
      </c>
      <c r="R44" s="573"/>
      <c r="S44" s="49">
        <v>0.37708333333333327</v>
      </c>
      <c r="T44" s="49">
        <v>0.43958333333333327</v>
      </c>
      <c r="U44" s="407">
        <f t="shared" si="30"/>
        <v>5.9999999999999787</v>
      </c>
      <c r="V44" s="414">
        <f t="shared" si="29"/>
        <v>90</v>
      </c>
      <c r="W44" s="25"/>
      <c r="X44" s="25"/>
      <c r="Y44" s="25"/>
      <c r="Z44" s="25"/>
      <c r="AA44" s="575"/>
      <c r="AB44" s="575"/>
      <c r="AC44" s="50"/>
      <c r="AD44" s="27"/>
      <c r="AE44" s="20">
        <f t="shared" si="8"/>
        <v>-111.33333333333303</v>
      </c>
      <c r="AF44" s="406">
        <f t="shared" si="9"/>
        <v>0.95361111111111119</v>
      </c>
      <c r="AG44" s="573"/>
    </row>
    <row r="45" spans="1:33">
      <c r="A45" s="593" t="s">
        <v>2529</v>
      </c>
      <c r="B45" s="39" t="s">
        <v>94</v>
      </c>
      <c r="C45" s="574" t="s">
        <v>103</v>
      </c>
      <c r="D45" s="574"/>
      <c r="E45" s="39">
        <v>20.2</v>
      </c>
      <c r="F45" s="415">
        <v>2176</v>
      </c>
      <c r="G45" s="407">
        <f t="shared" si="27"/>
        <v>43955.199999999997</v>
      </c>
      <c r="H45" s="48" t="s">
        <v>126</v>
      </c>
      <c r="I45" s="413">
        <v>15</v>
      </c>
      <c r="J45" s="43">
        <v>2400</v>
      </c>
      <c r="K45" s="18">
        <f t="shared" si="1"/>
        <v>160</v>
      </c>
      <c r="L45" s="413">
        <v>15</v>
      </c>
      <c r="M45" s="19">
        <f t="shared" si="28"/>
        <v>2290.5263157894724</v>
      </c>
      <c r="N45" s="18">
        <f t="shared" si="3"/>
        <v>152.70175438596482</v>
      </c>
      <c r="O45" s="20">
        <f t="shared" si="4"/>
        <v>0</v>
      </c>
      <c r="P45" s="21">
        <f t="shared" si="5"/>
        <v>-7.2982456140351815</v>
      </c>
      <c r="Q45" s="406">
        <f t="shared" si="6"/>
        <v>0.95438596491228012</v>
      </c>
      <c r="R45" s="573"/>
      <c r="S45" s="49">
        <v>0.44374999999999992</v>
      </c>
      <c r="T45" s="49">
        <v>0.48333333333333328</v>
      </c>
      <c r="U45" s="407">
        <f t="shared" si="30"/>
        <v>5.9999999999999787</v>
      </c>
      <c r="V45" s="414">
        <f t="shared" si="29"/>
        <v>57.000000000000036</v>
      </c>
      <c r="W45" s="25">
        <f>T45</f>
        <v>0.48333333333333328</v>
      </c>
      <c r="X45" s="25">
        <f>S46</f>
        <v>0.52291666666666659</v>
      </c>
      <c r="Y45" s="25"/>
      <c r="Z45" s="25"/>
      <c r="AA45" s="575"/>
      <c r="AB45" s="575"/>
      <c r="AC45" s="50"/>
      <c r="AD45" s="27"/>
      <c r="AE45" s="20">
        <f t="shared" si="8"/>
        <v>-109.47368421052761</v>
      </c>
      <c r="AF45" s="406">
        <f t="shared" si="9"/>
        <v>0.95438596491228012</v>
      </c>
      <c r="AG45" s="573"/>
    </row>
    <row r="46" spans="1:33">
      <c r="A46" s="593" t="s">
        <v>2527</v>
      </c>
      <c r="B46" s="39" t="s">
        <v>94</v>
      </c>
      <c r="C46" s="574" t="s">
        <v>102</v>
      </c>
      <c r="D46" s="574"/>
      <c r="E46" s="39">
        <v>34.1</v>
      </c>
      <c r="F46" s="415">
        <v>3169</v>
      </c>
      <c r="G46" s="407">
        <f t="shared" si="27"/>
        <v>108062.90000000001</v>
      </c>
      <c r="H46" s="48" t="s">
        <v>126</v>
      </c>
      <c r="I46" s="413">
        <v>17</v>
      </c>
      <c r="J46" s="43">
        <v>1600</v>
      </c>
      <c r="K46" s="18">
        <f t="shared" si="1"/>
        <v>94.117647058823536</v>
      </c>
      <c r="L46" s="413">
        <v>17</v>
      </c>
      <c r="M46" s="19">
        <f t="shared" si="28"/>
        <v>1533.387096774193</v>
      </c>
      <c r="N46" s="18">
        <f t="shared" si="3"/>
        <v>90.199240986717228</v>
      </c>
      <c r="O46" s="20">
        <f t="shared" si="4"/>
        <v>0</v>
      </c>
      <c r="P46" s="21">
        <f t="shared" si="5"/>
        <v>-3.9184060721063076</v>
      </c>
      <c r="Q46" s="406">
        <f t="shared" si="6"/>
        <v>0.95836693548387053</v>
      </c>
      <c r="R46" s="573"/>
      <c r="S46" s="49">
        <v>0.52291666666666659</v>
      </c>
      <c r="T46" s="49">
        <v>0.60902777777777772</v>
      </c>
      <c r="U46" s="407">
        <f t="shared" si="30"/>
        <v>56.999999999999957</v>
      </c>
      <c r="V46" s="414">
        <f t="shared" si="29"/>
        <v>124.00000000000004</v>
      </c>
      <c r="W46" s="25"/>
      <c r="X46" s="25"/>
      <c r="Y46" s="25"/>
      <c r="Z46" s="25"/>
      <c r="AA46" s="575"/>
      <c r="AB46" s="575"/>
      <c r="AC46" s="50"/>
      <c r="AD46" s="27"/>
      <c r="AE46" s="20">
        <f t="shared" si="8"/>
        <v>-66.612903225807031</v>
      </c>
      <c r="AF46" s="406">
        <f t="shared" si="9"/>
        <v>0.95836693548387064</v>
      </c>
      <c r="AG46" s="573"/>
    </row>
    <row r="47" spans="1:33">
      <c r="A47" s="593" t="s">
        <v>2528</v>
      </c>
      <c r="B47" s="39" t="s">
        <v>94</v>
      </c>
      <c r="C47" s="574" t="s">
        <v>1231</v>
      </c>
      <c r="D47" s="574"/>
      <c r="E47" s="39">
        <v>25.99</v>
      </c>
      <c r="F47" s="415">
        <v>2019</v>
      </c>
      <c r="G47" s="407">
        <f t="shared" si="27"/>
        <v>52473.81</v>
      </c>
      <c r="H47" s="48" t="s">
        <v>126</v>
      </c>
      <c r="I47" s="413">
        <v>18</v>
      </c>
      <c r="J47" s="43">
        <v>2400</v>
      </c>
      <c r="K47" s="18">
        <f t="shared" si="1"/>
        <v>133.33333333333334</v>
      </c>
      <c r="L47" s="413">
        <v>18</v>
      </c>
      <c r="M47" s="19">
        <f t="shared" si="28"/>
        <v>2285.6603773584916</v>
      </c>
      <c r="N47" s="18">
        <f t="shared" si="3"/>
        <v>126.98113207547175</v>
      </c>
      <c r="O47" s="20">
        <f t="shared" si="4"/>
        <v>0</v>
      </c>
      <c r="P47" s="21">
        <f t="shared" si="5"/>
        <v>-6.3522012578615943</v>
      </c>
      <c r="Q47" s="406">
        <f t="shared" si="6"/>
        <v>0.95235849056603805</v>
      </c>
      <c r="R47" s="573"/>
      <c r="S47" s="49">
        <v>0.61388888888888882</v>
      </c>
      <c r="T47" s="49">
        <v>0.65069444444444435</v>
      </c>
      <c r="U47" s="407">
        <f t="shared" si="30"/>
        <v>6.9999999999999751</v>
      </c>
      <c r="V47" s="414">
        <f t="shared" si="29"/>
        <v>52.999999999999972</v>
      </c>
      <c r="W47" s="25"/>
      <c r="X47" s="25"/>
      <c r="Y47" s="28"/>
      <c r="Z47" s="28"/>
      <c r="AA47" s="568"/>
      <c r="AB47" s="569"/>
      <c r="AC47" s="50"/>
      <c r="AD47" s="27"/>
      <c r="AE47" s="20">
        <f t="shared" si="8"/>
        <v>-114.33962264150841</v>
      </c>
      <c r="AF47" s="406">
        <f t="shared" si="9"/>
        <v>0.95235849056603816</v>
      </c>
      <c r="AG47" s="573"/>
    </row>
    <row r="48" spans="1:33">
      <c r="A48" s="593" t="s">
        <v>2527</v>
      </c>
      <c r="B48" s="39" t="s">
        <v>94</v>
      </c>
      <c r="C48" s="574" t="s">
        <v>100</v>
      </c>
      <c r="D48" s="574"/>
      <c r="E48" s="39">
        <v>24.43</v>
      </c>
      <c r="F48" s="415">
        <v>3196</v>
      </c>
      <c r="G48" s="407">
        <f t="shared" si="27"/>
        <v>78078.28</v>
      </c>
      <c r="H48" s="48" t="s">
        <v>126</v>
      </c>
      <c r="I48" s="413">
        <v>14</v>
      </c>
      <c r="J48" s="43">
        <v>2400</v>
      </c>
      <c r="K48" s="18">
        <f t="shared" si="1"/>
        <v>171.42857142857142</v>
      </c>
      <c r="L48" s="413">
        <v>14</v>
      </c>
      <c r="M48" s="19">
        <f t="shared" si="28"/>
        <v>2282.8571428571422</v>
      </c>
      <c r="N48" s="18">
        <f t="shared" si="3"/>
        <v>163.06122448979588</v>
      </c>
      <c r="O48" s="20">
        <f t="shared" si="4"/>
        <v>0</v>
      </c>
      <c r="P48" s="21">
        <f t="shared" si="5"/>
        <v>-8.3673469387755404</v>
      </c>
      <c r="Q48" s="406">
        <f t="shared" si="6"/>
        <v>0.95119047619047603</v>
      </c>
      <c r="R48" s="573"/>
      <c r="S48" s="49">
        <v>0.65416666666666656</v>
      </c>
      <c r="T48" s="49">
        <v>0.71249999999999991</v>
      </c>
      <c r="U48" s="407">
        <f t="shared" si="30"/>
        <v>4.9999999999999822</v>
      </c>
      <c r="V48" s="414">
        <f t="shared" si="29"/>
        <v>84.000000000000028</v>
      </c>
      <c r="W48" s="25"/>
      <c r="X48" s="25"/>
      <c r="Y48" s="28"/>
      <c r="Z48" s="28"/>
      <c r="AA48" s="568"/>
      <c r="AB48" s="569"/>
      <c r="AC48" s="50"/>
      <c r="AD48" s="27"/>
      <c r="AE48" s="20">
        <f t="shared" si="8"/>
        <v>-117.14285714285779</v>
      </c>
      <c r="AF48" s="406">
        <f t="shared" si="9"/>
        <v>0.95119047619047592</v>
      </c>
      <c r="AG48" s="573"/>
    </row>
    <row r="49" spans="1:33">
      <c r="A49" s="593" t="s">
        <v>2527</v>
      </c>
      <c r="B49" s="39" t="s">
        <v>94</v>
      </c>
      <c r="C49" s="566" t="s">
        <v>530</v>
      </c>
      <c r="D49" s="567"/>
      <c r="E49" s="39">
        <v>26.18</v>
      </c>
      <c r="F49" s="415">
        <v>2992</v>
      </c>
      <c r="G49" s="407">
        <f t="shared" si="27"/>
        <v>78330.559999999998</v>
      </c>
      <c r="H49" s="48" t="s">
        <v>126</v>
      </c>
      <c r="I49" s="413">
        <v>20</v>
      </c>
      <c r="J49" s="43">
        <v>2400</v>
      </c>
      <c r="K49" s="18">
        <f t="shared" si="1"/>
        <v>120</v>
      </c>
      <c r="L49" s="413">
        <v>20</v>
      </c>
      <c r="M49" s="19">
        <f t="shared" si="28"/>
        <v>2301.5384615384601</v>
      </c>
      <c r="N49" s="18">
        <f t="shared" si="3"/>
        <v>115.07692307692301</v>
      </c>
      <c r="O49" s="20">
        <f t="shared" si="4"/>
        <v>0</v>
      </c>
      <c r="P49" s="21">
        <f t="shared" si="5"/>
        <v>-4.9230769230769909</v>
      </c>
      <c r="Q49" s="406">
        <f t="shared" si="6"/>
        <v>0.95897435897435845</v>
      </c>
      <c r="R49" s="573"/>
      <c r="S49" s="49">
        <v>0.71666666666666656</v>
      </c>
      <c r="T49" s="49">
        <v>0.77083333333333326</v>
      </c>
      <c r="U49" s="407">
        <f t="shared" si="30"/>
        <v>5.9999999999999787</v>
      </c>
      <c r="V49" s="414">
        <f t="shared" si="29"/>
        <v>78.000000000000043</v>
      </c>
      <c r="W49" s="25"/>
      <c r="X49" s="25"/>
      <c r="Y49" s="28"/>
      <c r="Z49" s="28"/>
      <c r="AA49" s="411"/>
      <c r="AB49" s="412"/>
      <c r="AC49" s="50"/>
      <c r="AD49" s="27"/>
      <c r="AE49" s="20">
        <f t="shared" si="8"/>
        <v>-98.461538461539931</v>
      </c>
      <c r="AF49" s="406">
        <f t="shared" si="9"/>
        <v>0.95897435897435834</v>
      </c>
      <c r="AG49" s="573"/>
    </row>
    <row r="50" spans="1:33">
      <c r="A50" s="593" t="s">
        <v>2527</v>
      </c>
      <c r="B50" s="42" t="s">
        <v>2519</v>
      </c>
      <c r="C50" s="576"/>
      <c r="D50" s="576"/>
      <c r="E50" s="408"/>
      <c r="F50" s="42"/>
      <c r="G50" s="18"/>
      <c r="H50" s="415"/>
      <c r="I50" s="32">
        <v>17.111111111111111</v>
      </c>
      <c r="J50" s="43">
        <v>2222.2222222222222</v>
      </c>
      <c r="K50" s="18">
        <f t="shared" si="1"/>
        <v>129.87012987012986</v>
      </c>
      <c r="L50" s="32">
        <v>17.111111111111111</v>
      </c>
      <c r="M50" s="19">
        <f>AVERAGE(M41:M49)</f>
        <v>2122.2845425570304</v>
      </c>
      <c r="N50" s="18">
        <f t="shared" si="3"/>
        <v>124.02961612346282</v>
      </c>
      <c r="O50" s="20">
        <f t="shared" si="4"/>
        <v>0</v>
      </c>
      <c r="P50" s="21">
        <f t="shared" si="5"/>
        <v>-5.8405137466670425</v>
      </c>
      <c r="Q50" s="406">
        <f t="shared" si="6"/>
        <v>0.95502804415066378</v>
      </c>
      <c r="R50" s="573"/>
      <c r="S50" s="49"/>
      <c r="T50" s="49"/>
      <c r="U50" s="18"/>
      <c r="V50" s="414"/>
      <c r="W50" s="18"/>
      <c r="X50" s="18"/>
      <c r="Y50" s="33">
        <f>SUM(Y41:Y49)</f>
        <v>0</v>
      </c>
      <c r="Z50" s="33">
        <f>SUM(Z41:Z49)</f>
        <v>0</v>
      </c>
      <c r="AA50" s="572"/>
      <c r="AB50" s="572"/>
      <c r="AC50" s="33">
        <v>9</v>
      </c>
      <c r="AD50" s="33">
        <f>SUM(AD41:AD49)</f>
        <v>0</v>
      </c>
      <c r="AE50" s="20">
        <f t="shared" si="8"/>
        <v>-99.937679665191808</v>
      </c>
      <c r="AF50" s="406">
        <f t="shared" si="9"/>
        <v>0.95502804415066367</v>
      </c>
      <c r="AG50" s="573"/>
    </row>
    <row r="51" spans="1:33" ht="15.75" customHeight="1">
      <c r="A51" s="589" t="s">
        <v>2530</v>
      </c>
      <c r="B51" s="39" t="s">
        <v>104</v>
      </c>
      <c r="C51" s="566" t="s">
        <v>105</v>
      </c>
      <c r="D51" s="567"/>
      <c r="E51" s="39">
        <v>37.880000000000003</v>
      </c>
      <c r="F51" s="415">
        <v>1876</v>
      </c>
      <c r="G51" s="407">
        <f t="shared" ref="G51:G54" si="31">E51*F51</f>
        <v>71062.880000000005</v>
      </c>
      <c r="H51" s="48" t="s">
        <v>126</v>
      </c>
      <c r="I51" s="413">
        <v>13</v>
      </c>
      <c r="J51" s="43">
        <v>2000</v>
      </c>
      <c r="K51" s="18">
        <f t="shared" si="1"/>
        <v>153.84615384615384</v>
      </c>
      <c r="L51" s="413">
        <v>13</v>
      </c>
      <c r="M51" s="19">
        <f t="shared" ref="M51:M54" si="32">F51/V51*60</f>
        <v>1907.7966101694913</v>
      </c>
      <c r="N51" s="19">
        <f t="shared" si="3"/>
        <v>146.75358539765318</v>
      </c>
      <c r="O51" s="20">
        <f t="shared" si="4"/>
        <v>0</v>
      </c>
      <c r="P51" s="21">
        <f t="shared" si="5"/>
        <v>-7.092568448500657</v>
      </c>
      <c r="Q51" s="406">
        <f t="shared" si="6"/>
        <v>0.95389830508474571</v>
      </c>
      <c r="R51" s="584">
        <f>Q55</f>
        <v>0.95438403096898694</v>
      </c>
      <c r="S51" s="49">
        <v>8.3333333333333329E-2</v>
      </c>
      <c r="T51" s="49">
        <v>0.12430555555555556</v>
      </c>
      <c r="U51" s="30"/>
      <c r="V51" s="414">
        <f t="shared" ref="V51:V54" si="33">(T51-S51)*24*60</f>
        <v>59.000000000000007</v>
      </c>
      <c r="W51" s="25">
        <f>T51</f>
        <v>0.12430555555555556</v>
      </c>
      <c r="X51" s="25">
        <f>S52</f>
        <v>0.14444444444444446</v>
      </c>
      <c r="Y51" s="28"/>
      <c r="Z51" s="28"/>
      <c r="AA51" s="568"/>
      <c r="AB51" s="569"/>
      <c r="AC51" s="50">
        <v>4</v>
      </c>
      <c r="AD51" s="27"/>
      <c r="AE51" s="20">
        <f t="shared" si="8"/>
        <v>-92.20338983050874</v>
      </c>
      <c r="AF51" s="406">
        <f t="shared" si="9"/>
        <v>0.9538983050847456</v>
      </c>
      <c r="AG51" s="584">
        <f>AF55</f>
        <v>0.95438403096898694</v>
      </c>
    </row>
    <row r="52" spans="1:33" ht="15.75" customHeight="1">
      <c r="A52" s="590" t="s">
        <v>2530</v>
      </c>
      <c r="B52" s="39" t="s">
        <v>104</v>
      </c>
      <c r="C52" s="566" t="s">
        <v>106</v>
      </c>
      <c r="D52" s="567"/>
      <c r="E52" s="39">
        <v>35.119999999999997</v>
      </c>
      <c r="F52" s="415">
        <v>6384</v>
      </c>
      <c r="G52" s="407">
        <f t="shared" si="31"/>
        <v>224206.07999999999</v>
      </c>
      <c r="H52" s="48" t="s">
        <v>126</v>
      </c>
      <c r="I52" s="413">
        <v>10</v>
      </c>
      <c r="J52" s="43">
        <v>3000</v>
      </c>
      <c r="K52" s="18">
        <f t="shared" si="1"/>
        <v>300</v>
      </c>
      <c r="L52" s="413">
        <v>10</v>
      </c>
      <c r="M52" s="19">
        <f t="shared" si="32"/>
        <v>2858.5074626865671</v>
      </c>
      <c r="N52" s="19">
        <f t="shared" si="3"/>
        <v>285.85074626865674</v>
      </c>
      <c r="O52" s="20">
        <f t="shared" si="4"/>
        <v>0</v>
      </c>
      <c r="P52" s="21">
        <f t="shared" si="5"/>
        <v>-14.149253731343265</v>
      </c>
      <c r="Q52" s="406">
        <f t="shared" si="6"/>
        <v>0.95283582089552243</v>
      </c>
      <c r="R52" s="585"/>
      <c r="S52" s="49">
        <v>0.14444444444444446</v>
      </c>
      <c r="T52" s="49">
        <v>0.23750000000000002</v>
      </c>
      <c r="U52" s="407">
        <f t="shared" ref="U52:U54" si="34">(S52-T51)*24*60</f>
        <v>29.000000000000018</v>
      </c>
      <c r="V52" s="414">
        <f t="shared" si="33"/>
        <v>134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-141.49253731343288</v>
      </c>
      <c r="AF52" s="406">
        <f t="shared" si="9"/>
        <v>0.95283582089552232</v>
      </c>
      <c r="AG52" s="585"/>
    </row>
    <row r="53" spans="1:33" ht="15.75" customHeight="1">
      <c r="A53" s="590" t="s">
        <v>2530</v>
      </c>
      <c r="B53" s="39" t="s">
        <v>104</v>
      </c>
      <c r="C53" s="566" t="s">
        <v>107</v>
      </c>
      <c r="D53" s="567"/>
      <c r="E53" s="39">
        <v>21.13</v>
      </c>
      <c r="F53" s="415">
        <v>5947</v>
      </c>
      <c r="G53" s="407">
        <f t="shared" si="31"/>
        <v>125660.11</v>
      </c>
      <c r="H53" s="48" t="s">
        <v>126</v>
      </c>
      <c r="I53" s="413">
        <v>10</v>
      </c>
      <c r="J53" s="43">
        <v>3000</v>
      </c>
      <c r="K53" s="18">
        <f t="shared" si="1"/>
        <v>300</v>
      </c>
      <c r="L53" s="413">
        <v>10</v>
      </c>
      <c r="M53" s="19">
        <f t="shared" si="32"/>
        <v>2877.5806451612893</v>
      </c>
      <c r="N53" s="19">
        <f t="shared" si="3"/>
        <v>287.75806451612891</v>
      </c>
      <c r="O53" s="20">
        <f t="shared" si="4"/>
        <v>0</v>
      </c>
      <c r="P53" s="21">
        <f t="shared" si="5"/>
        <v>-12.241935483871089</v>
      </c>
      <c r="Q53" s="406">
        <f t="shared" si="6"/>
        <v>0.95919354838709636</v>
      </c>
      <c r="R53" s="585"/>
      <c r="S53" s="49">
        <v>0.24236111111111114</v>
      </c>
      <c r="T53" s="49">
        <v>0.32847222222222228</v>
      </c>
      <c r="U53" s="407">
        <f t="shared" si="34"/>
        <v>7.0000000000000151</v>
      </c>
      <c r="V53" s="414">
        <f t="shared" si="33"/>
        <v>124.00000000000004</v>
      </c>
      <c r="W53" s="25"/>
      <c r="X53" s="25"/>
      <c r="Y53" s="28"/>
      <c r="Z53" s="28"/>
      <c r="AA53" s="568"/>
      <c r="AB53" s="569"/>
      <c r="AC53" s="50"/>
      <c r="AD53" s="27"/>
      <c r="AE53" s="20">
        <f t="shared" si="8"/>
        <v>-122.41935483871066</v>
      </c>
      <c r="AF53" s="406">
        <f t="shared" si="9"/>
        <v>0.95919354838709647</v>
      </c>
      <c r="AG53" s="585"/>
    </row>
    <row r="54" spans="1:33" ht="15.75" customHeight="1">
      <c r="A54" s="590" t="s">
        <v>2530</v>
      </c>
      <c r="B54" s="39" t="s">
        <v>104</v>
      </c>
      <c r="C54" s="566" t="s">
        <v>108</v>
      </c>
      <c r="D54" s="567"/>
      <c r="E54" s="39">
        <v>27.17</v>
      </c>
      <c r="F54" s="415">
        <v>7564</v>
      </c>
      <c r="G54" s="407">
        <f t="shared" si="31"/>
        <v>205513.88</v>
      </c>
      <c r="H54" s="48" t="s">
        <v>126</v>
      </c>
      <c r="I54" s="413">
        <v>10</v>
      </c>
      <c r="J54" s="43">
        <v>3000</v>
      </c>
      <c r="K54" s="18">
        <f t="shared" si="1"/>
        <v>300</v>
      </c>
      <c r="L54" s="413">
        <v>10</v>
      </c>
      <c r="M54" s="19">
        <f t="shared" si="32"/>
        <v>2854.3396226415093</v>
      </c>
      <c r="N54" s="19">
        <f t="shared" si="3"/>
        <v>285.43396226415092</v>
      </c>
      <c r="O54" s="20">
        <f t="shared" si="4"/>
        <v>0</v>
      </c>
      <c r="P54" s="21">
        <f t="shared" si="5"/>
        <v>-14.566037735849079</v>
      </c>
      <c r="Q54" s="406">
        <f t="shared" si="6"/>
        <v>0.95144654088050307</v>
      </c>
      <c r="R54" s="585"/>
      <c r="S54" s="49">
        <v>0.33263888888888893</v>
      </c>
      <c r="T54" s="49">
        <v>0.44305555555555559</v>
      </c>
      <c r="U54" s="407">
        <f t="shared" si="34"/>
        <v>5.9999999999999787</v>
      </c>
      <c r="V54" s="414">
        <f t="shared" si="33"/>
        <v>159</v>
      </c>
      <c r="W54" s="25"/>
      <c r="X54" s="25"/>
      <c r="Y54" s="28"/>
      <c r="Z54" s="28"/>
      <c r="AA54" s="568"/>
      <c r="AB54" s="569"/>
      <c r="AC54" s="50"/>
      <c r="AD54" s="27"/>
      <c r="AE54" s="20">
        <f t="shared" si="8"/>
        <v>-145.66037735849068</v>
      </c>
      <c r="AF54" s="406">
        <f t="shared" si="9"/>
        <v>0.95144654088050307</v>
      </c>
      <c r="AG54" s="585"/>
    </row>
    <row r="55" spans="1:33" ht="15.75" customHeight="1">
      <c r="A55" s="591" t="s">
        <v>2530</v>
      </c>
      <c r="B55" s="39" t="s">
        <v>2519</v>
      </c>
      <c r="C55" s="570"/>
      <c r="D55" s="571"/>
      <c r="E55" s="404"/>
      <c r="F55" s="415"/>
      <c r="G55" s="407"/>
      <c r="H55" s="415"/>
      <c r="I55" s="32">
        <v>10.75</v>
      </c>
      <c r="J55" s="43">
        <v>2750</v>
      </c>
      <c r="K55" s="18">
        <f t="shared" si="1"/>
        <v>255.81395348837211</v>
      </c>
      <c r="L55" s="32">
        <v>10.75</v>
      </c>
      <c r="M55" s="19">
        <f>AVERAGE(M51:M54)</f>
        <v>2624.5560851647142</v>
      </c>
      <c r="N55" s="18">
        <f t="shared" si="3"/>
        <v>244.1447521083455</v>
      </c>
      <c r="O55" s="20">
        <f t="shared" si="4"/>
        <v>0</v>
      </c>
      <c r="P55" s="21">
        <f t="shared" si="5"/>
        <v>-11.669201380026607</v>
      </c>
      <c r="Q55" s="406">
        <f t="shared" si="6"/>
        <v>0.95438403096898694</v>
      </c>
      <c r="R55" s="586"/>
      <c r="S55" s="49"/>
      <c r="T55" s="49"/>
      <c r="U55" s="407"/>
      <c r="V55" s="414"/>
      <c r="W55" s="25"/>
      <c r="X55" s="25"/>
      <c r="Y55" s="33">
        <f>SUM(Y51:Y54)</f>
        <v>0</v>
      </c>
      <c r="Z55" s="33">
        <f>SUM(Z51:Z54)</f>
        <v>0</v>
      </c>
      <c r="AA55" s="587"/>
      <c r="AB55" s="588"/>
      <c r="AC55" s="33">
        <v>4</v>
      </c>
      <c r="AD55" s="33">
        <f>SUM(AD51:AD54)</f>
        <v>0</v>
      </c>
      <c r="AE55" s="20">
        <f t="shared" si="8"/>
        <v>-125.4439148352858</v>
      </c>
      <c r="AF55" s="406">
        <f t="shared" si="9"/>
        <v>0.95438403096898694</v>
      </c>
      <c r="AG55" s="586"/>
    </row>
    <row r="56" spans="1:33" ht="15.75" customHeight="1">
      <c r="A56" s="582" t="s">
        <v>63</v>
      </c>
      <c r="B56" s="39" t="s">
        <v>79</v>
      </c>
      <c r="C56" s="574" t="s">
        <v>109</v>
      </c>
      <c r="D56" s="574"/>
      <c r="E56" s="39">
        <v>46</v>
      </c>
      <c r="F56" s="45">
        <v>2456</v>
      </c>
      <c r="G56" s="407">
        <f t="shared" ref="G56:G62" si="35">E56*F56</f>
        <v>112976</v>
      </c>
      <c r="H56" s="48" t="s">
        <v>126</v>
      </c>
      <c r="I56" s="413">
        <v>16</v>
      </c>
      <c r="J56" s="43">
        <v>2000</v>
      </c>
      <c r="K56" s="18">
        <f t="shared" si="1"/>
        <v>125</v>
      </c>
      <c r="L56" s="413">
        <v>16</v>
      </c>
      <c r="M56" s="19">
        <f t="shared" ref="M56" si="36">F56/V56*60</f>
        <v>1913.7662337662337</v>
      </c>
      <c r="N56" s="19">
        <f t="shared" si="3"/>
        <v>119.6103896103896</v>
      </c>
      <c r="O56" s="20">
        <f t="shared" si="4"/>
        <v>0</v>
      </c>
      <c r="P56" s="21">
        <f t="shared" si="5"/>
        <v>-5.3896103896103966</v>
      </c>
      <c r="Q56" s="406">
        <f t="shared" si="6"/>
        <v>0.95688311688311678</v>
      </c>
      <c r="R56" s="573">
        <f>Q63</f>
        <v>0.96116018747201992</v>
      </c>
      <c r="S56" s="49">
        <v>0.20833333333333334</v>
      </c>
      <c r="T56" s="49">
        <v>0.26180555555555557</v>
      </c>
      <c r="U56" s="30"/>
      <c r="V56" s="414">
        <f t="shared" ref="V56:V62" si="37">(T56-S56)*24*60</f>
        <v>77</v>
      </c>
      <c r="W56" s="30"/>
      <c r="X56" s="30"/>
      <c r="Y56" s="30"/>
      <c r="Z56" s="30"/>
      <c r="AA56" s="575"/>
      <c r="AB56" s="575"/>
      <c r="AC56" s="50">
        <v>7</v>
      </c>
      <c r="AD56" s="27"/>
      <c r="AE56" s="20">
        <f t="shared" si="8"/>
        <v>-86.233766233766346</v>
      </c>
      <c r="AF56" s="406">
        <f t="shared" si="9"/>
        <v>0.95688311688311678</v>
      </c>
      <c r="AG56" s="573">
        <f>AF63</f>
        <v>0.96116018747201981</v>
      </c>
    </row>
    <row r="57" spans="1:33" ht="15.75" customHeight="1">
      <c r="A57" s="582" t="s">
        <v>2531</v>
      </c>
      <c r="B57" s="39" t="s">
        <v>79</v>
      </c>
      <c r="C57" s="574" t="s">
        <v>1233</v>
      </c>
      <c r="D57" s="574"/>
      <c r="E57" s="39">
        <v>46</v>
      </c>
      <c r="F57" s="45">
        <v>3944</v>
      </c>
      <c r="G57" s="407">
        <f t="shared" si="35"/>
        <v>181424</v>
      </c>
      <c r="H57" s="48" t="s">
        <v>126</v>
      </c>
      <c r="I57" s="413">
        <v>16</v>
      </c>
      <c r="J57" s="43">
        <v>2000</v>
      </c>
      <c r="K57" s="18">
        <f t="shared" si="1"/>
        <v>125</v>
      </c>
      <c r="L57" s="413">
        <v>16</v>
      </c>
      <c r="M57" s="19">
        <f>F57/V57*60</f>
        <v>1908.3870967741927</v>
      </c>
      <c r="N57" s="19">
        <f t="shared" si="3"/>
        <v>119.27419354838705</v>
      </c>
      <c r="O57" s="20">
        <f t="shared" si="4"/>
        <v>0</v>
      </c>
      <c r="P57" s="21">
        <f t="shared" si="5"/>
        <v>-5.7258064516129537</v>
      </c>
      <c r="Q57" s="406">
        <f t="shared" si="6"/>
        <v>0.95419354838709636</v>
      </c>
      <c r="R57" s="573"/>
      <c r="S57" s="49">
        <v>0.26527777777777778</v>
      </c>
      <c r="T57" s="49">
        <v>0.35138888888888892</v>
      </c>
      <c r="U57" s="407">
        <f t="shared" ref="U57:U62" si="38">IF(S57=TIME(17,0,0),"",(S57-T56)*24*60)</f>
        <v>4.9999999999999822</v>
      </c>
      <c r="V57" s="414">
        <f t="shared" si="37"/>
        <v>124.00000000000004</v>
      </c>
      <c r="W57" s="25"/>
      <c r="X57" s="25"/>
      <c r="Y57" s="25"/>
      <c r="Z57" s="25"/>
      <c r="AA57" s="575"/>
      <c r="AB57" s="575"/>
      <c r="AC57" s="50"/>
      <c r="AD57" s="27"/>
      <c r="AE57" s="20">
        <f t="shared" si="8"/>
        <v>-91.612903225807258</v>
      </c>
      <c r="AF57" s="406">
        <f t="shared" si="9"/>
        <v>0.95419354838709636</v>
      </c>
      <c r="AG57" s="573"/>
    </row>
    <row r="58" spans="1:33" ht="15.75" customHeight="1">
      <c r="A58" s="582" t="s">
        <v>2531</v>
      </c>
      <c r="B58" s="39" t="s">
        <v>74</v>
      </c>
      <c r="C58" s="566" t="s">
        <v>111</v>
      </c>
      <c r="D58" s="567"/>
      <c r="E58" s="39">
        <v>51.75</v>
      </c>
      <c r="F58" s="45">
        <v>911</v>
      </c>
      <c r="G58" s="407">
        <f t="shared" si="35"/>
        <v>47144.25</v>
      </c>
      <c r="H58" s="48" t="s">
        <v>126</v>
      </c>
      <c r="I58" s="413">
        <v>25</v>
      </c>
      <c r="J58" s="43">
        <v>2000</v>
      </c>
      <c r="K58" s="18">
        <f t="shared" si="1"/>
        <v>80</v>
      </c>
      <c r="L58" s="413">
        <v>25</v>
      </c>
      <c r="M58" s="19">
        <f t="shared" ref="M58:M62" si="39">F58/V58*60</f>
        <v>1952.1428571428587</v>
      </c>
      <c r="N58" s="19">
        <f t="shared" si="3"/>
        <v>78.085714285714346</v>
      </c>
      <c r="O58" s="20">
        <f t="shared" si="4"/>
        <v>0</v>
      </c>
      <c r="P58" s="21">
        <f t="shared" si="5"/>
        <v>-1.9142857142856542</v>
      </c>
      <c r="Q58" s="406">
        <f t="shared" si="6"/>
        <v>0.97607142857142937</v>
      </c>
      <c r="R58" s="573"/>
      <c r="S58" s="49">
        <v>0.35555555555555557</v>
      </c>
      <c r="T58" s="49">
        <v>0.375</v>
      </c>
      <c r="U58" s="407">
        <f t="shared" si="38"/>
        <v>5.9999999999999787</v>
      </c>
      <c r="V58" s="414">
        <f t="shared" si="37"/>
        <v>27.999999999999979</v>
      </c>
      <c r="W58" s="25"/>
      <c r="X58" s="25"/>
      <c r="Y58" s="28"/>
      <c r="Z58" s="28"/>
      <c r="AA58" s="575"/>
      <c r="AB58" s="575"/>
      <c r="AC58" s="50"/>
      <c r="AD58" s="27"/>
      <c r="AE58" s="20">
        <f t="shared" si="8"/>
        <v>-47.857142857141298</v>
      </c>
      <c r="AF58" s="406">
        <f t="shared" si="9"/>
        <v>0.97607142857142937</v>
      </c>
      <c r="AG58" s="573"/>
    </row>
    <row r="59" spans="1:33" ht="15.75" customHeight="1">
      <c r="A59" s="582" t="s">
        <v>2532</v>
      </c>
      <c r="B59" s="39" t="s">
        <v>74</v>
      </c>
      <c r="C59" s="409" t="s">
        <v>110</v>
      </c>
      <c r="D59" s="410"/>
      <c r="E59" s="39">
        <v>56.43</v>
      </c>
      <c r="F59" s="45">
        <v>1695</v>
      </c>
      <c r="G59" s="407">
        <f t="shared" si="35"/>
        <v>95648.85</v>
      </c>
      <c r="H59" s="48" t="s">
        <v>126</v>
      </c>
      <c r="I59" s="413">
        <v>22</v>
      </c>
      <c r="J59" s="43">
        <v>2000</v>
      </c>
      <c r="K59" s="18">
        <f t="shared" si="1"/>
        <v>90.909090909090907</v>
      </c>
      <c r="L59" s="413">
        <v>22</v>
      </c>
      <c r="M59" s="19">
        <f t="shared" si="39"/>
        <v>1918.8679245283031</v>
      </c>
      <c r="N59" s="19">
        <f t="shared" si="3"/>
        <v>87.221269296741056</v>
      </c>
      <c r="O59" s="20">
        <f t="shared" si="4"/>
        <v>0</v>
      </c>
      <c r="P59" s="21">
        <f t="shared" si="5"/>
        <v>-3.6878216123498504</v>
      </c>
      <c r="Q59" s="406">
        <f t="shared" si="6"/>
        <v>0.95943396226415167</v>
      </c>
      <c r="R59" s="573"/>
      <c r="S59" s="49">
        <v>0.37847222222222221</v>
      </c>
      <c r="T59" s="49">
        <v>0.41527777777777775</v>
      </c>
      <c r="U59" s="407">
        <f t="shared" si="38"/>
        <v>4.9999999999999822</v>
      </c>
      <c r="V59" s="414">
        <f t="shared" si="37"/>
        <v>52.999999999999972</v>
      </c>
      <c r="W59" s="25"/>
      <c r="X59" s="25"/>
      <c r="Y59" s="28"/>
      <c r="Z59" s="28"/>
      <c r="AA59" s="575"/>
      <c r="AB59" s="575"/>
      <c r="AC59" s="50"/>
      <c r="AD59" s="27"/>
      <c r="AE59" s="20">
        <f t="shared" si="8"/>
        <v>-81.132075471696908</v>
      </c>
      <c r="AF59" s="406">
        <f t="shared" si="9"/>
        <v>0.95943396226415156</v>
      </c>
      <c r="AG59" s="573"/>
    </row>
    <row r="60" spans="1:33" ht="15.75" customHeight="1">
      <c r="A60" s="582" t="s">
        <v>63</v>
      </c>
      <c r="B60" s="39" t="s">
        <v>74</v>
      </c>
      <c r="C60" s="409" t="s">
        <v>88</v>
      </c>
      <c r="D60" s="410"/>
      <c r="E60" s="39">
        <v>59.04</v>
      </c>
      <c r="F60" s="45">
        <v>3853</v>
      </c>
      <c r="G60" s="407">
        <f t="shared" si="35"/>
        <v>227481.12</v>
      </c>
      <c r="H60" s="48" t="s">
        <v>126</v>
      </c>
      <c r="I60" s="413">
        <v>19</v>
      </c>
      <c r="J60" s="43">
        <v>2000</v>
      </c>
      <c r="K60" s="18">
        <f t="shared" si="1"/>
        <v>105.26315789473684</v>
      </c>
      <c r="L60" s="413">
        <v>19</v>
      </c>
      <c r="M60" s="19">
        <f t="shared" si="39"/>
        <v>1910.5785123966934</v>
      </c>
      <c r="N60" s="19">
        <f t="shared" si="3"/>
        <v>100.55676381035228</v>
      </c>
      <c r="O60" s="20">
        <f t="shared" si="4"/>
        <v>0</v>
      </c>
      <c r="P60" s="21">
        <f t="shared" si="5"/>
        <v>-4.7063940843845558</v>
      </c>
      <c r="Q60" s="406">
        <f t="shared" si="6"/>
        <v>0.9552892561983467</v>
      </c>
      <c r="R60" s="573"/>
      <c r="S60" s="49">
        <v>0.42013888888888884</v>
      </c>
      <c r="T60" s="49">
        <v>0.50416666666666665</v>
      </c>
      <c r="U60" s="407">
        <f t="shared" si="38"/>
        <v>6.9999999999999751</v>
      </c>
      <c r="V60" s="414">
        <f t="shared" si="37"/>
        <v>121.00000000000006</v>
      </c>
      <c r="W60" s="25"/>
      <c r="X60" s="25"/>
      <c r="Y60" s="28"/>
      <c r="Z60" s="28"/>
      <c r="AA60" s="575"/>
      <c r="AB60" s="575"/>
      <c r="AC60" s="50"/>
      <c r="AD60" s="27"/>
      <c r="AE60" s="20">
        <f t="shared" si="8"/>
        <v>-89.421487603306559</v>
      </c>
      <c r="AF60" s="406">
        <f t="shared" si="9"/>
        <v>0.9552892561983467</v>
      </c>
      <c r="AG60" s="573"/>
    </row>
    <row r="61" spans="1:33" ht="15.75" customHeight="1">
      <c r="A61" s="582" t="s">
        <v>63</v>
      </c>
      <c r="B61" s="39" t="s">
        <v>74</v>
      </c>
      <c r="C61" s="566" t="s">
        <v>113</v>
      </c>
      <c r="D61" s="567"/>
      <c r="E61" s="39">
        <v>55.56</v>
      </c>
      <c r="F61" s="45">
        <v>2283</v>
      </c>
      <c r="G61" s="407">
        <f t="shared" si="35"/>
        <v>126843.48000000001</v>
      </c>
      <c r="H61" s="48" t="s">
        <v>126</v>
      </c>
      <c r="I61" s="413">
        <v>17</v>
      </c>
      <c r="J61" s="43">
        <v>2000</v>
      </c>
      <c r="K61" s="18">
        <f t="shared" si="1"/>
        <v>117.64705882352941</v>
      </c>
      <c r="L61" s="413">
        <v>17</v>
      </c>
      <c r="M61" s="19">
        <f t="shared" si="39"/>
        <v>1902.4999999999984</v>
      </c>
      <c r="N61" s="19">
        <f t="shared" si="3"/>
        <v>111.91176470588226</v>
      </c>
      <c r="O61" s="20">
        <f t="shared" si="4"/>
        <v>0</v>
      </c>
      <c r="P61" s="21">
        <f t="shared" si="5"/>
        <v>-5.7352941176471433</v>
      </c>
      <c r="Q61" s="406">
        <f t="shared" si="6"/>
        <v>0.95124999999999926</v>
      </c>
      <c r="R61" s="573"/>
      <c r="S61" s="49">
        <v>0.70833333333333337</v>
      </c>
      <c r="T61" s="49">
        <v>0.75833333333333341</v>
      </c>
      <c r="U61" s="407" t="str">
        <f t="shared" si="38"/>
        <v/>
      </c>
      <c r="V61" s="414">
        <f t="shared" si="37"/>
        <v>72.000000000000057</v>
      </c>
      <c r="W61" s="25"/>
      <c r="X61" s="25"/>
      <c r="Y61" s="28"/>
      <c r="Z61" s="28"/>
      <c r="AA61" s="568"/>
      <c r="AB61" s="569"/>
      <c r="AC61" s="50"/>
      <c r="AD61" s="27"/>
      <c r="AE61" s="20">
        <f t="shared" si="8"/>
        <v>-97.500000000001592</v>
      </c>
      <c r="AF61" s="406">
        <f t="shared" si="9"/>
        <v>0.95124999999999915</v>
      </c>
      <c r="AG61" s="573"/>
    </row>
    <row r="62" spans="1:33" ht="15.75" customHeight="1">
      <c r="A62" s="582" t="s">
        <v>2531</v>
      </c>
      <c r="B62" s="39" t="s">
        <v>74</v>
      </c>
      <c r="C62" s="566" t="s">
        <v>114</v>
      </c>
      <c r="D62" s="567"/>
      <c r="E62" s="39">
        <v>54.29</v>
      </c>
      <c r="F62" s="45">
        <v>1170</v>
      </c>
      <c r="G62" s="407">
        <f t="shared" si="35"/>
        <v>63519.299999999996</v>
      </c>
      <c r="H62" s="48" t="s">
        <v>126</v>
      </c>
      <c r="I62" s="413">
        <v>20</v>
      </c>
      <c r="J62" s="43">
        <v>2000</v>
      </c>
      <c r="K62" s="18">
        <f t="shared" si="1"/>
        <v>100</v>
      </c>
      <c r="L62" s="413">
        <v>20</v>
      </c>
      <c r="M62" s="19">
        <f t="shared" si="39"/>
        <v>1949.9999999999982</v>
      </c>
      <c r="N62" s="19">
        <f t="shared" si="3"/>
        <v>97.499999999999915</v>
      </c>
      <c r="O62" s="20">
        <f t="shared" si="4"/>
        <v>0</v>
      </c>
      <c r="P62" s="21">
        <f t="shared" si="5"/>
        <v>-2.5000000000000853</v>
      </c>
      <c r="Q62" s="406">
        <f t="shared" si="6"/>
        <v>0.9749999999999992</v>
      </c>
      <c r="R62" s="573"/>
      <c r="S62" s="49">
        <v>0.76180555555555562</v>
      </c>
      <c r="T62" s="49">
        <v>0.78680555555555565</v>
      </c>
      <c r="U62" s="407">
        <f t="shared" si="38"/>
        <v>4.9999999999999822</v>
      </c>
      <c r="V62" s="414">
        <f t="shared" si="37"/>
        <v>36.000000000000028</v>
      </c>
      <c r="W62" s="25"/>
      <c r="X62" s="25"/>
      <c r="Y62" s="28"/>
      <c r="Z62" s="28"/>
      <c r="AA62" s="568"/>
      <c r="AB62" s="569"/>
      <c r="AC62" s="50"/>
      <c r="AD62" s="27"/>
      <c r="AE62" s="20">
        <f t="shared" si="8"/>
        <v>-50.000000000001819</v>
      </c>
      <c r="AF62" s="406">
        <f t="shared" si="9"/>
        <v>0.97499999999999909</v>
      </c>
      <c r="AG62" s="573"/>
    </row>
    <row r="63" spans="1:33">
      <c r="A63" s="583" t="s">
        <v>2533</v>
      </c>
      <c r="B63" s="39" t="s">
        <v>2519</v>
      </c>
      <c r="C63" s="576"/>
      <c r="D63" s="576"/>
      <c r="E63" s="408"/>
      <c r="F63" s="42"/>
      <c r="G63" s="18"/>
      <c r="H63" s="415"/>
      <c r="I63" s="32">
        <v>19.285714285714285</v>
      </c>
      <c r="J63" s="43">
        <v>2000</v>
      </c>
      <c r="K63" s="18">
        <f t="shared" si="1"/>
        <v>103.70370370370371</v>
      </c>
      <c r="L63" s="32">
        <v>19.285714285714285</v>
      </c>
      <c r="M63" s="19">
        <f>AVERAGE(M56:M62)</f>
        <v>1922.3203749440397</v>
      </c>
      <c r="N63" s="18">
        <f t="shared" si="3"/>
        <v>99.675871293394664</v>
      </c>
      <c r="O63" s="20">
        <f t="shared" si="4"/>
        <v>0</v>
      </c>
      <c r="P63" s="21">
        <f t="shared" si="5"/>
        <v>-4.0278324103090455</v>
      </c>
      <c r="Q63" s="406">
        <f t="shared" si="6"/>
        <v>0.96116018747201992</v>
      </c>
      <c r="R63" s="573"/>
      <c r="S63" s="49"/>
      <c r="T63" s="49"/>
      <c r="U63" s="407"/>
      <c r="V63" s="414"/>
      <c r="W63" s="18"/>
      <c r="X63" s="18"/>
      <c r="Y63" s="33">
        <f>SUM(Y56:Y62)</f>
        <v>0</v>
      </c>
      <c r="Z63" s="33">
        <f>SUM(Z56:Z62)</f>
        <v>0</v>
      </c>
      <c r="AA63" s="572"/>
      <c r="AB63" s="572"/>
      <c r="AC63" s="33">
        <v>7</v>
      </c>
      <c r="AD63" s="33">
        <f>SUM(AD56:AD62)</f>
        <v>0</v>
      </c>
      <c r="AE63" s="20">
        <f>M63-J63</f>
        <v>-77.679625055960287</v>
      </c>
      <c r="AF63" s="406">
        <f t="shared" si="9"/>
        <v>0.96116018747201981</v>
      </c>
      <c r="AG63" s="573"/>
    </row>
    <row r="64" spans="1:33" ht="15.75" customHeight="1">
      <c r="A64" s="580" t="s">
        <v>2534</v>
      </c>
      <c r="B64" s="415" t="s">
        <v>104</v>
      </c>
      <c r="C64" s="574" t="s">
        <v>115</v>
      </c>
      <c r="D64" s="574"/>
      <c r="E64" s="39">
        <v>34.36</v>
      </c>
      <c r="F64" s="45">
        <v>2537</v>
      </c>
      <c r="G64" s="407">
        <f t="shared" ref="G64:G68" si="40">E64*F64</f>
        <v>87171.319999999992</v>
      </c>
      <c r="H64" s="48" t="s">
        <v>126</v>
      </c>
      <c r="I64" s="413">
        <v>10</v>
      </c>
      <c r="J64" s="43">
        <v>3000</v>
      </c>
      <c r="K64" s="18">
        <f t="shared" si="1"/>
        <v>300</v>
      </c>
      <c r="L64" s="413">
        <v>10</v>
      </c>
      <c r="M64" s="19">
        <f t="shared" ref="M64:M68" si="41">F64/V64*60</f>
        <v>2872.0754716981128</v>
      </c>
      <c r="N64" s="18">
        <f t="shared" si="3"/>
        <v>287.20754716981128</v>
      </c>
      <c r="O64" s="20">
        <f t="shared" si="4"/>
        <v>0</v>
      </c>
      <c r="P64" s="21">
        <f t="shared" si="5"/>
        <v>-12.792452830188722</v>
      </c>
      <c r="Q64" s="406">
        <f t="shared" si="6"/>
        <v>0.95735849056603761</v>
      </c>
      <c r="R64" s="573">
        <f>Q69</f>
        <v>0.96415164161603217</v>
      </c>
      <c r="S64" s="49">
        <v>0.20833333333333334</v>
      </c>
      <c r="T64" s="49">
        <v>0.24513888888888891</v>
      </c>
      <c r="U64" s="407"/>
      <c r="V64" s="414">
        <f t="shared" ref="V64:V68" si="42">(T64-S64)*24*60</f>
        <v>53.000000000000014</v>
      </c>
      <c r="W64" s="30"/>
      <c r="X64" s="30"/>
      <c r="Y64" s="30"/>
      <c r="Z64" s="30"/>
      <c r="AA64" s="575"/>
      <c r="AB64" s="575"/>
      <c r="AC64" s="50">
        <v>5</v>
      </c>
      <c r="AD64" s="27"/>
      <c r="AE64" s="20">
        <f t="shared" ref="AE64:AE78" si="43">M64-J64</f>
        <v>-127.92452830188722</v>
      </c>
      <c r="AF64" s="406">
        <f t="shared" si="9"/>
        <v>0.95735849056603761</v>
      </c>
      <c r="AG64" s="573">
        <f>AF69</f>
        <v>0.9641516416160324</v>
      </c>
    </row>
    <row r="65" spans="1:33" ht="15.75" customHeight="1">
      <c r="A65" s="580" t="s">
        <v>2535</v>
      </c>
      <c r="B65" s="415" t="s">
        <v>104</v>
      </c>
      <c r="C65" s="574" t="s">
        <v>116</v>
      </c>
      <c r="D65" s="574"/>
      <c r="E65" s="39">
        <v>34.36</v>
      </c>
      <c r="F65" s="45">
        <v>1177</v>
      </c>
      <c r="G65" s="407">
        <f t="shared" si="40"/>
        <v>40441.72</v>
      </c>
      <c r="H65" s="48" t="s">
        <v>126</v>
      </c>
      <c r="I65" s="413">
        <v>10</v>
      </c>
      <c r="J65" s="43">
        <v>3000</v>
      </c>
      <c r="K65" s="18">
        <f t="shared" si="1"/>
        <v>300</v>
      </c>
      <c r="L65" s="413">
        <v>10</v>
      </c>
      <c r="M65" s="19">
        <f t="shared" si="41"/>
        <v>2942.5000000000009</v>
      </c>
      <c r="N65" s="18">
        <f t="shared" si="3"/>
        <v>294.25000000000011</v>
      </c>
      <c r="O65" s="20">
        <f t="shared" si="4"/>
        <v>0</v>
      </c>
      <c r="P65" s="21">
        <f t="shared" si="5"/>
        <v>-5.7499999999998863</v>
      </c>
      <c r="Q65" s="406">
        <f t="shared" si="6"/>
        <v>0.98083333333333367</v>
      </c>
      <c r="R65" s="573"/>
      <c r="S65" s="49">
        <v>0.25069444444444444</v>
      </c>
      <c r="T65" s="49">
        <v>0.2673611111111111</v>
      </c>
      <c r="U65" s="407">
        <f t="shared" ref="U65:U68" si="44">(S65-T64)*24*60</f>
        <v>7.9999999999999716</v>
      </c>
      <c r="V65" s="414">
        <f t="shared" si="42"/>
        <v>23.999999999999993</v>
      </c>
      <c r="W65" s="407"/>
      <c r="X65" s="407"/>
      <c r="Y65" s="407"/>
      <c r="Z65" s="407"/>
      <c r="AA65" s="575"/>
      <c r="AB65" s="575"/>
      <c r="AC65" s="50"/>
      <c r="AD65" s="27"/>
      <c r="AE65" s="20">
        <f t="shared" si="43"/>
        <v>-57.499999999999091</v>
      </c>
      <c r="AF65" s="406">
        <f t="shared" si="9"/>
        <v>0.98083333333333367</v>
      </c>
      <c r="AG65" s="573"/>
    </row>
    <row r="66" spans="1:33" ht="15.75" customHeight="1">
      <c r="A66" s="580" t="s">
        <v>2535</v>
      </c>
      <c r="B66" s="415" t="s">
        <v>104</v>
      </c>
      <c r="C66" s="574" t="s">
        <v>117</v>
      </c>
      <c r="D66" s="574"/>
      <c r="E66" s="39">
        <v>26.78</v>
      </c>
      <c r="F66" s="45">
        <v>2829</v>
      </c>
      <c r="G66" s="407">
        <f t="shared" si="40"/>
        <v>75760.62000000001</v>
      </c>
      <c r="H66" s="48" t="s">
        <v>126</v>
      </c>
      <c r="I66" s="413">
        <v>10</v>
      </c>
      <c r="J66" s="43">
        <v>3000</v>
      </c>
      <c r="K66" s="18">
        <f t="shared" si="1"/>
        <v>300</v>
      </c>
      <c r="L66" s="413">
        <v>10</v>
      </c>
      <c r="M66" s="19">
        <f t="shared" si="41"/>
        <v>2876.9491525423714</v>
      </c>
      <c r="N66" s="18">
        <f t="shared" si="3"/>
        <v>287.69491525423712</v>
      </c>
      <c r="O66" s="20">
        <f t="shared" si="4"/>
        <v>0</v>
      </c>
      <c r="P66" s="21">
        <f t="shared" si="5"/>
        <v>-12.305084745762883</v>
      </c>
      <c r="Q66" s="406">
        <f t="shared" si="6"/>
        <v>0.95898305084745705</v>
      </c>
      <c r="R66" s="573"/>
      <c r="S66" s="49">
        <v>0.27152777777777776</v>
      </c>
      <c r="T66" s="49">
        <v>0.3125</v>
      </c>
      <c r="U66" s="407">
        <f t="shared" si="44"/>
        <v>5.9999999999999787</v>
      </c>
      <c r="V66" s="414">
        <f t="shared" si="42"/>
        <v>59.000000000000028</v>
      </c>
      <c r="W66" s="407"/>
      <c r="X66" s="407"/>
      <c r="Y66" s="407"/>
      <c r="Z66" s="407"/>
      <c r="AA66" s="575"/>
      <c r="AB66" s="575"/>
      <c r="AC66" s="50"/>
      <c r="AD66" s="27"/>
      <c r="AE66" s="20">
        <f t="shared" si="43"/>
        <v>-123.05084745762861</v>
      </c>
      <c r="AF66" s="406">
        <f t="shared" si="9"/>
        <v>0.95898305084745716</v>
      </c>
      <c r="AG66" s="573"/>
    </row>
    <row r="67" spans="1:33" ht="15.75" customHeight="1">
      <c r="A67" s="580" t="s">
        <v>2535</v>
      </c>
      <c r="B67" s="415" t="s">
        <v>104</v>
      </c>
      <c r="C67" s="574" t="s">
        <v>119</v>
      </c>
      <c r="D67" s="574"/>
      <c r="E67" s="39">
        <v>35.869999999999997</v>
      </c>
      <c r="F67" s="45">
        <v>4323</v>
      </c>
      <c r="G67" s="407">
        <f t="shared" si="40"/>
        <v>155066.00999999998</v>
      </c>
      <c r="H67" s="48" t="s">
        <v>126</v>
      </c>
      <c r="I67" s="413">
        <v>9</v>
      </c>
      <c r="J67" s="43">
        <v>3000</v>
      </c>
      <c r="K67" s="18">
        <f t="shared" si="1"/>
        <v>333.33333333333331</v>
      </c>
      <c r="L67" s="413">
        <v>9</v>
      </c>
      <c r="M67" s="19">
        <f t="shared" si="41"/>
        <v>2882</v>
      </c>
      <c r="N67" s="18">
        <f t="shared" si="3"/>
        <v>320.22222222222223</v>
      </c>
      <c r="O67" s="20">
        <f t="shared" si="4"/>
        <v>0</v>
      </c>
      <c r="P67" s="21">
        <f t="shared" si="5"/>
        <v>-13.111111111111086</v>
      </c>
      <c r="Q67" s="406">
        <f t="shared" si="6"/>
        <v>0.96066666666666678</v>
      </c>
      <c r="R67" s="573"/>
      <c r="S67" s="49">
        <v>0.31666666666666665</v>
      </c>
      <c r="T67" s="49">
        <v>0.37916666666666665</v>
      </c>
      <c r="U67" s="407">
        <f t="shared" si="44"/>
        <v>5.9999999999999787</v>
      </c>
      <c r="V67" s="414">
        <f t="shared" si="42"/>
        <v>90</v>
      </c>
      <c r="W67" s="407"/>
      <c r="X67" s="407"/>
      <c r="Y67" s="407"/>
      <c r="Z67" s="407"/>
      <c r="AA67" s="575"/>
      <c r="AB67" s="575"/>
      <c r="AC67" s="50"/>
      <c r="AD67" s="27"/>
      <c r="AE67" s="20">
        <f t="shared" si="43"/>
        <v>-118</v>
      </c>
      <c r="AF67" s="406">
        <f t="shared" si="9"/>
        <v>0.96066666666666667</v>
      </c>
      <c r="AG67" s="573"/>
    </row>
    <row r="68" spans="1:33">
      <c r="A68" s="581" t="s">
        <v>2535</v>
      </c>
      <c r="B68" s="415" t="s">
        <v>104</v>
      </c>
      <c r="C68" s="574" t="s">
        <v>120</v>
      </c>
      <c r="D68" s="574"/>
      <c r="E68" s="39">
        <v>34.35</v>
      </c>
      <c r="F68" s="45">
        <v>2311</v>
      </c>
      <c r="G68" s="407">
        <f t="shared" si="40"/>
        <v>79382.850000000006</v>
      </c>
      <c r="H68" s="48" t="s">
        <v>126</v>
      </c>
      <c r="I68" s="413">
        <v>8</v>
      </c>
      <c r="J68" s="43">
        <v>3000</v>
      </c>
      <c r="K68" s="18">
        <f t="shared" si="1"/>
        <v>375</v>
      </c>
      <c r="L68" s="413">
        <v>8</v>
      </c>
      <c r="M68" s="19">
        <f t="shared" si="41"/>
        <v>2888.7500000000009</v>
      </c>
      <c r="N68" s="18">
        <f t="shared" si="3"/>
        <v>361.09375000000011</v>
      </c>
      <c r="O68" s="20">
        <f t="shared" si="4"/>
        <v>0</v>
      </c>
      <c r="P68" s="21">
        <f t="shared" si="5"/>
        <v>-13.906249999999886</v>
      </c>
      <c r="Q68" s="406">
        <f t="shared" si="6"/>
        <v>0.96291666666666698</v>
      </c>
      <c r="R68" s="573"/>
      <c r="S68" s="49">
        <v>0.38472222222222219</v>
      </c>
      <c r="T68" s="49">
        <v>0.41805555555555551</v>
      </c>
      <c r="U68" s="407">
        <f t="shared" si="44"/>
        <v>7.9999999999999716</v>
      </c>
      <c r="V68" s="414">
        <f t="shared" si="42"/>
        <v>47.999999999999986</v>
      </c>
      <c r="W68" s="25"/>
      <c r="X68" s="25"/>
      <c r="Y68" s="25"/>
      <c r="Z68" s="25"/>
      <c r="AA68" s="575"/>
      <c r="AB68" s="575"/>
      <c r="AC68" s="50"/>
      <c r="AD68" s="27"/>
      <c r="AE68" s="20">
        <f t="shared" si="43"/>
        <v>-111.24999999999909</v>
      </c>
      <c r="AF68" s="406">
        <f t="shared" si="9"/>
        <v>0.96291666666666698</v>
      </c>
      <c r="AG68" s="573"/>
    </row>
    <row r="69" spans="1:33">
      <c r="A69" s="581" t="s">
        <v>2535</v>
      </c>
      <c r="B69" s="39" t="s">
        <v>2519</v>
      </c>
      <c r="C69" s="576"/>
      <c r="D69" s="576"/>
      <c r="E69" s="408"/>
      <c r="F69" s="42"/>
      <c r="G69" s="18"/>
      <c r="H69" s="415"/>
      <c r="I69" s="32">
        <v>9.4</v>
      </c>
      <c r="J69" s="43">
        <v>3000</v>
      </c>
      <c r="K69" s="18">
        <f t="shared" ref="K69:K78" si="45">J69/I69</f>
        <v>319.14893617021278</v>
      </c>
      <c r="L69" s="32">
        <v>9.4</v>
      </c>
      <c r="M69" s="19">
        <f>AVERAGE(M64:M68)</f>
        <v>2892.4549248480971</v>
      </c>
      <c r="N69" s="18">
        <f t="shared" ref="N69:N78" si="46">M69/L69</f>
        <v>307.70797072852093</v>
      </c>
      <c r="O69" s="20">
        <f t="shared" ref="O69:O78" si="47">L69-I69</f>
        <v>0</v>
      </c>
      <c r="P69" s="21">
        <f t="shared" ref="P69:P78" si="48">N69-K69</f>
        <v>-11.440965441691844</v>
      </c>
      <c r="Q69" s="406">
        <f t="shared" ref="Q69:Q78" si="49">N69/K69</f>
        <v>0.96415164161603217</v>
      </c>
      <c r="R69" s="573"/>
      <c r="S69" s="49"/>
      <c r="T69" s="49"/>
      <c r="U69" s="18"/>
      <c r="V69" s="414"/>
      <c r="W69" s="18"/>
      <c r="X69" s="18"/>
      <c r="Y69" s="33">
        <f>SUM(Y64:Y68)</f>
        <v>0</v>
      </c>
      <c r="Z69" s="33">
        <f>SUM(Z64:Z68)</f>
        <v>0</v>
      </c>
      <c r="AA69" s="572"/>
      <c r="AB69" s="572"/>
      <c r="AC69" s="33">
        <v>5</v>
      </c>
      <c r="AD69" s="33">
        <f>SUM(AD64:AD68)</f>
        <v>0</v>
      </c>
      <c r="AE69" s="20">
        <f t="shared" si="43"/>
        <v>-107.54507515190289</v>
      </c>
      <c r="AF69" s="406">
        <f t="shared" ref="AF69:AF78" si="50">M69/J69</f>
        <v>0.9641516416160324</v>
      </c>
      <c r="AG69" s="573"/>
    </row>
    <row r="70" spans="1:33" ht="15.75" customHeight="1">
      <c r="A70" s="577" t="s">
        <v>2536</v>
      </c>
      <c r="B70" s="415" t="s">
        <v>94</v>
      </c>
      <c r="C70" s="574" t="s">
        <v>124</v>
      </c>
      <c r="D70" s="574"/>
      <c r="E70" s="39">
        <v>22.69</v>
      </c>
      <c r="F70" s="415">
        <v>4528</v>
      </c>
      <c r="G70" s="407">
        <f t="shared" ref="G70:G77" si="51">E70*F70</f>
        <v>102740.32</v>
      </c>
      <c r="H70" s="48" t="s">
        <v>126</v>
      </c>
      <c r="I70" s="413">
        <v>15</v>
      </c>
      <c r="J70" s="43">
        <v>2400</v>
      </c>
      <c r="K70" s="18">
        <f t="shared" si="45"/>
        <v>160</v>
      </c>
      <c r="L70" s="413">
        <v>15</v>
      </c>
      <c r="M70" s="19">
        <f t="shared" ref="M70:M77" si="52">F70/V70*60</f>
        <v>2283.0252100840335</v>
      </c>
      <c r="N70" s="18">
        <f t="shared" si="46"/>
        <v>152.20168067226891</v>
      </c>
      <c r="O70" s="20">
        <f t="shared" si="47"/>
        <v>0</v>
      </c>
      <c r="P70" s="21">
        <f t="shared" si="48"/>
        <v>-7.7983193277310932</v>
      </c>
      <c r="Q70" s="406">
        <f t="shared" si="49"/>
        <v>0.95126050420168062</v>
      </c>
      <c r="R70" s="573">
        <f>Q78</f>
        <v>0.95765888033557667</v>
      </c>
      <c r="S70" s="49">
        <v>8.3333333333333329E-2</v>
      </c>
      <c r="T70" s="49">
        <v>0.16597222222222222</v>
      </c>
      <c r="U70" s="30"/>
      <c r="V70" s="414">
        <f t="shared" ref="V70:V77" si="53">(T70-S70)*24*60</f>
        <v>119</v>
      </c>
      <c r="W70" s="25">
        <f>T70</f>
        <v>0.16597222222222222</v>
      </c>
      <c r="X70" s="25">
        <f>S71</f>
        <v>0.18611111111111112</v>
      </c>
      <c r="Y70" s="25"/>
      <c r="Z70" s="25"/>
      <c r="AA70" s="575"/>
      <c r="AB70" s="575"/>
      <c r="AC70" s="50">
        <v>8</v>
      </c>
      <c r="AD70" s="27"/>
      <c r="AE70" s="20">
        <f t="shared" si="43"/>
        <v>-116.97478991596654</v>
      </c>
      <c r="AF70" s="406">
        <f t="shared" si="50"/>
        <v>0.95126050420168062</v>
      </c>
      <c r="AG70" s="573">
        <f>AF78</f>
        <v>0.95765888033557667</v>
      </c>
    </row>
    <row r="71" spans="1:33" ht="15.75" customHeight="1">
      <c r="A71" s="578" t="s">
        <v>2537</v>
      </c>
      <c r="B71" s="415" t="s">
        <v>94</v>
      </c>
      <c r="C71" s="574" t="s">
        <v>125</v>
      </c>
      <c r="D71" s="574"/>
      <c r="E71" s="39">
        <v>19.02</v>
      </c>
      <c r="F71" s="415">
        <v>6000</v>
      </c>
      <c r="G71" s="407">
        <f t="shared" si="51"/>
        <v>114120</v>
      </c>
      <c r="H71" s="48">
        <v>2</v>
      </c>
      <c r="I71" s="413">
        <v>14</v>
      </c>
      <c r="J71" s="43">
        <v>2400</v>
      </c>
      <c r="K71" s="18">
        <f t="shared" si="45"/>
        <v>171.42857142857142</v>
      </c>
      <c r="L71" s="413">
        <v>14</v>
      </c>
      <c r="M71" s="19">
        <f t="shared" si="52"/>
        <v>2292.9936305732485</v>
      </c>
      <c r="N71" s="18">
        <f t="shared" si="46"/>
        <v>163.78525932666062</v>
      </c>
      <c r="O71" s="20">
        <f t="shared" si="47"/>
        <v>0</v>
      </c>
      <c r="P71" s="21">
        <f t="shared" si="48"/>
        <v>-7.6433121019107944</v>
      </c>
      <c r="Q71" s="406">
        <f t="shared" si="49"/>
        <v>0.95541401273885374</v>
      </c>
      <c r="R71" s="573"/>
      <c r="S71" s="49">
        <v>0.18611111111111112</v>
      </c>
      <c r="T71" s="49">
        <v>0.2951388888888889</v>
      </c>
      <c r="U71" s="407">
        <f t="shared" ref="U71:U77" si="54">(S71-T70)*24*60</f>
        <v>29.000000000000018</v>
      </c>
      <c r="V71" s="414">
        <f t="shared" si="53"/>
        <v>157</v>
      </c>
      <c r="W71" s="25"/>
      <c r="X71" s="25"/>
      <c r="Y71" s="25"/>
      <c r="Z71" s="25"/>
      <c r="AA71" s="575"/>
      <c r="AB71" s="575"/>
      <c r="AC71" s="50"/>
      <c r="AD71" s="27"/>
      <c r="AE71" s="20">
        <f t="shared" si="43"/>
        <v>-107.00636942675146</v>
      </c>
      <c r="AF71" s="406">
        <f t="shared" si="50"/>
        <v>0.95541401273885351</v>
      </c>
      <c r="AG71" s="573"/>
    </row>
    <row r="72" spans="1:33" ht="15.75" customHeight="1">
      <c r="A72" s="578" t="s">
        <v>2537</v>
      </c>
      <c r="B72" s="415" t="s">
        <v>94</v>
      </c>
      <c r="C72" s="574" t="s">
        <v>99</v>
      </c>
      <c r="D72" s="574"/>
      <c r="E72" s="39">
        <v>20.36</v>
      </c>
      <c r="F72" s="415">
        <v>3100</v>
      </c>
      <c r="G72" s="407">
        <f t="shared" si="51"/>
        <v>63116</v>
      </c>
      <c r="H72" s="48">
        <v>2</v>
      </c>
      <c r="I72" s="413">
        <v>17</v>
      </c>
      <c r="J72" s="43">
        <v>2400</v>
      </c>
      <c r="K72" s="18">
        <f t="shared" si="45"/>
        <v>141.1764705882353</v>
      </c>
      <c r="L72" s="413">
        <v>17</v>
      </c>
      <c r="M72" s="19">
        <f t="shared" si="52"/>
        <v>2296.2962962962956</v>
      </c>
      <c r="N72" s="18">
        <f t="shared" si="46"/>
        <v>135.07625272331151</v>
      </c>
      <c r="O72" s="20">
        <f t="shared" si="47"/>
        <v>0</v>
      </c>
      <c r="P72" s="21">
        <f t="shared" si="48"/>
        <v>-6.1002178649237919</v>
      </c>
      <c r="Q72" s="406">
        <f t="shared" si="49"/>
        <v>0.95679012345678982</v>
      </c>
      <c r="R72" s="573"/>
      <c r="S72" s="49">
        <v>0.29930555555555555</v>
      </c>
      <c r="T72" s="49">
        <v>0.35555555555555557</v>
      </c>
      <c r="U72" s="407">
        <f t="shared" si="54"/>
        <v>5.9999999999999787</v>
      </c>
      <c r="V72" s="414">
        <f t="shared" si="53"/>
        <v>81.000000000000028</v>
      </c>
      <c r="W72" s="25"/>
      <c r="X72" s="25"/>
      <c r="Y72" s="25"/>
      <c r="Z72" s="25"/>
      <c r="AA72" s="575"/>
      <c r="AB72" s="575"/>
      <c r="AC72" s="50"/>
      <c r="AD72" s="27"/>
      <c r="AE72" s="20">
        <f t="shared" si="43"/>
        <v>-103.70370370370438</v>
      </c>
      <c r="AF72" s="406">
        <f t="shared" si="50"/>
        <v>0.95679012345678982</v>
      </c>
      <c r="AG72" s="573"/>
    </row>
    <row r="73" spans="1:33" ht="15.75" customHeight="1">
      <c r="A73" s="578" t="s">
        <v>2536</v>
      </c>
      <c r="B73" s="415" t="s">
        <v>94</v>
      </c>
      <c r="C73" s="574" t="s">
        <v>123</v>
      </c>
      <c r="D73" s="574"/>
      <c r="E73" s="39">
        <v>20.21</v>
      </c>
      <c r="F73" s="415">
        <v>3803</v>
      </c>
      <c r="G73" s="407">
        <f t="shared" si="51"/>
        <v>76858.63</v>
      </c>
      <c r="H73" s="48" t="s">
        <v>126</v>
      </c>
      <c r="I73" s="413">
        <v>15</v>
      </c>
      <c r="J73" s="43">
        <v>2400</v>
      </c>
      <c r="K73" s="18">
        <f t="shared" si="45"/>
        <v>160</v>
      </c>
      <c r="L73" s="413">
        <v>15</v>
      </c>
      <c r="M73" s="19">
        <f t="shared" si="52"/>
        <v>2304.8484848484854</v>
      </c>
      <c r="N73" s="18">
        <f t="shared" si="46"/>
        <v>153.6565656565657</v>
      </c>
      <c r="O73" s="20">
        <f t="shared" si="47"/>
        <v>0</v>
      </c>
      <c r="P73" s="21">
        <f t="shared" si="48"/>
        <v>-6.3434343434342964</v>
      </c>
      <c r="Q73" s="406">
        <f t="shared" si="49"/>
        <v>0.96035353535353563</v>
      </c>
      <c r="R73" s="573"/>
      <c r="S73" s="49">
        <v>0.3611111111111111</v>
      </c>
      <c r="T73" s="49">
        <v>0.42986111111111108</v>
      </c>
      <c r="U73" s="407">
        <f t="shared" si="54"/>
        <v>7.9999999999999716</v>
      </c>
      <c r="V73" s="414">
        <f t="shared" si="53"/>
        <v>98.999999999999972</v>
      </c>
      <c r="W73" s="25"/>
      <c r="X73" s="25"/>
      <c r="Y73" s="25"/>
      <c r="Z73" s="25"/>
      <c r="AA73" s="575"/>
      <c r="AB73" s="575"/>
      <c r="AC73" s="50"/>
      <c r="AD73" s="27"/>
      <c r="AE73" s="20">
        <f t="shared" si="43"/>
        <v>-95.151515151514559</v>
      </c>
      <c r="AF73" s="406">
        <f t="shared" si="50"/>
        <v>0.96035353535353563</v>
      </c>
      <c r="AG73" s="573"/>
    </row>
    <row r="74" spans="1:33" ht="15.75" customHeight="1">
      <c r="A74" s="578" t="s">
        <v>2536</v>
      </c>
      <c r="B74" s="415" t="s">
        <v>94</v>
      </c>
      <c r="C74" s="574" t="s">
        <v>1954</v>
      </c>
      <c r="D74" s="574"/>
      <c r="E74" s="39">
        <v>20.21</v>
      </c>
      <c r="F74" s="415">
        <v>3400</v>
      </c>
      <c r="G74" s="407">
        <f t="shared" si="51"/>
        <v>68714</v>
      </c>
      <c r="H74" s="48">
        <v>2</v>
      </c>
      <c r="I74" s="413">
        <v>18</v>
      </c>
      <c r="J74" s="43">
        <v>2400</v>
      </c>
      <c r="K74" s="18">
        <f t="shared" si="45"/>
        <v>133.33333333333334</v>
      </c>
      <c r="L74" s="413">
        <v>18</v>
      </c>
      <c r="M74" s="19">
        <f t="shared" si="52"/>
        <v>2292.1348314606744</v>
      </c>
      <c r="N74" s="18">
        <f t="shared" si="46"/>
        <v>127.34082397003746</v>
      </c>
      <c r="O74" s="20">
        <f t="shared" si="47"/>
        <v>0</v>
      </c>
      <c r="P74" s="21">
        <f t="shared" si="48"/>
        <v>-5.9925093632958806</v>
      </c>
      <c r="Q74" s="406">
        <f t="shared" si="49"/>
        <v>0.9550561797752809</v>
      </c>
      <c r="R74" s="573"/>
      <c r="S74" s="49">
        <v>0.43402777777777773</v>
      </c>
      <c r="T74" s="49">
        <v>0.49583333333333329</v>
      </c>
      <c r="U74" s="407">
        <f t="shared" si="54"/>
        <v>5.9999999999999787</v>
      </c>
      <c r="V74" s="414">
        <f t="shared" si="53"/>
        <v>89</v>
      </c>
      <c r="W74" s="25">
        <f>T74</f>
        <v>0.49583333333333329</v>
      </c>
      <c r="X74" s="25">
        <f>S75</f>
        <v>0.53541666666666665</v>
      </c>
      <c r="Y74" s="25"/>
      <c r="Z74" s="25"/>
      <c r="AA74" s="575"/>
      <c r="AB74" s="575"/>
      <c r="AC74" s="50"/>
      <c r="AD74" s="27"/>
      <c r="AE74" s="20">
        <f t="shared" si="43"/>
        <v>-107.86516853932562</v>
      </c>
      <c r="AF74" s="406">
        <f t="shared" si="50"/>
        <v>0.95505617977528101</v>
      </c>
      <c r="AG74" s="573"/>
    </row>
    <row r="75" spans="1:33" ht="15.75" customHeight="1">
      <c r="A75" s="578" t="s">
        <v>2536</v>
      </c>
      <c r="B75" s="415" t="s">
        <v>94</v>
      </c>
      <c r="C75" s="574" t="s">
        <v>125</v>
      </c>
      <c r="D75" s="574"/>
      <c r="E75" s="39">
        <v>19.02</v>
      </c>
      <c r="F75" s="415">
        <v>4884</v>
      </c>
      <c r="G75" s="407">
        <f t="shared" si="51"/>
        <v>92893.68</v>
      </c>
      <c r="H75" s="48" t="s">
        <v>126</v>
      </c>
      <c r="I75" s="413">
        <v>14</v>
      </c>
      <c r="J75" s="43">
        <v>2400</v>
      </c>
      <c r="K75" s="18">
        <f t="shared" si="45"/>
        <v>171.42857142857142</v>
      </c>
      <c r="L75" s="413">
        <v>14</v>
      </c>
      <c r="M75" s="19">
        <f t="shared" si="52"/>
        <v>2289.3749999999995</v>
      </c>
      <c r="N75" s="18">
        <f t="shared" si="46"/>
        <v>163.52678571428569</v>
      </c>
      <c r="O75" s="20">
        <f t="shared" si="47"/>
        <v>0</v>
      </c>
      <c r="P75" s="21">
        <f t="shared" si="48"/>
        <v>-7.9017857142857224</v>
      </c>
      <c r="Q75" s="406">
        <f t="shared" si="49"/>
        <v>0.95390624999999996</v>
      </c>
      <c r="R75" s="573"/>
      <c r="S75" s="49">
        <v>0.53541666666666665</v>
      </c>
      <c r="T75" s="49">
        <v>0.62430555555555556</v>
      </c>
      <c r="U75" s="407">
        <f t="shared" si="54"/>
        <v>57.000000000000036</v>
      </c>
      <c r="V75" s="414">
        <f t="shared" si="53"/>
        <v>128.00000000000003</v>
      </c>
      <c r="W75" s="25"/>
      <c r="X75" s="25"/>
      <c r="Y75" s="25"/>
      <c r="Z75" s="25"/>
      <c r="AA75" s="575"/>
      <c r="AB75" s="575"/>
      <c r="AC75" s="50"/>
      <c r="AD75" s="27"/>
      <c r="AE75" s="20">
        <f t="shared" si="43"/>
        <v>-110.62500000000045</v>
      </c>
      <c r="AF75" s="406">
        <f t="shared" si="50"/>
        <v>0.95390624999999984</v>
      </c>
      <c r="AG75" s="573"/>
    </row>
    <row r="76" spans="1:33" ht="15.75" customHeight="1">
      <c r="A76" s="578" t="s">
        <v>2536</v>
      </c>
      <c r="B76" s="415" t="s">
        <v>94</v>
      </c>
      <c r="C76" s="566" t="s">
        <v>1954</v>
      </c>
      <c r="D76" s="567"/>
      <c r="E76" s="39">
        <v>20.21</v>
      </c>
      <c r="F76" s="415">
        <v>2311</v>
      </c>
      <c r="G76" s="407">
        <f t="shared" si="51"/>
        <v>46705.310000000005</v>
      </c>
      <c r="H76" s="48" t="s">
        <v>126</v>
      </c>
      <c r="I76" s="413">
        <v>18</v>
      </c>
      <c r="J76" s="43">
        <v>2400</v>
      </c>
      <c r="K76" s="18">
        <f t="shared" si="45"/>
        <v>133.33333333333334</v>
      </c>
      <c r="L76" s="413">
        <v>18</v>
      </c>
      <c r="M76" s="19">
        <f t="shared" si="52"/>
        <v>2311.0000000000023</v>
      </c>
      <c r="N76" s="18">
        <f t="shared" si="46"/>
        <v>128.38888888888903</v>
      </c>
      <c r="O76" s="20">
        <f t="shared" si="47"/>
        <v>0</v>
      </c>
      <c r="P76" s="21">
        <f t="shared" si="48"/>
        <v>-4.944444444444315</v>
      </c>
      <c r="Q76" s="406">
        <f t="shared" si="49"/>
        <v>0.96291666666666764</v>
      </c>
      <c r="R76" s="573"/>
      <c r="S76" s="49">
        <v>0.62777777777777777</v>
      </c>
      <c r="T76" s="49">
        <v>0.6694444444444444</v>
      </c>
      <c r="U76" s="407">
        <f t="shared" si="54"/>
        <v>4.9999999999999822</v>
      </c>
      <c r="V76" s="414">
        <f t="shared" si="53"/>
        <v>59.999999999999943</v>
      </c>
      <c r="W76" s="25"/>
      <c r="X76" s="25"/>
      <c r="Y76" s="28"/>
      <c r="Z76" s="28"/>
      <c r="AA76" s="568"/>
      <c r="AB76" s="569"/>
      <c r="AC76" s="50"/>
      <c r="AD76" s="27"/>
      <c r="AE76" s="20">
        <f t="shared" si="43"/>
        <v>-88.999999999997726</v>
      </c>
      <c r="AF76" s="406">
        <f t="shared" si="50"/>
        <v>0.96291666666666764</v>
      </c>
      <c r="AG76" s="573"/>
    </row>
    <row r="77" spans="1:33" ht="15.75" customHeight="1">
      <c r="A77" s="578" t="s">
        <v>2536</v>
      </c>
      <c r="B77" s="415" t="s">
        <v>94</v>
      </c>
      <c r="C77" s="566" t="s">
        <v>99</v>
      </c>
      <c r="D77" s="567"/>
      <c r="E77" s="39">
        <v>20.36</v>
      </c>
      <c r="F77" s="415">
        <v>2356</v>
      </c>
      <c r="G77" s="407">
        <f t="shared" si="51"/>
        <v>47968.159999999996</v>
      </c>
      <c r="H77" s="48" t="s">
        <v>126</v>
      </c>
      <c r="I77" s="413">
        <v>17</v>
      </c>
      <c r="J77" s="43">
        <v>2400</v>
      </c>
      <c r="K77" s="18">
        <f t="shared" si="45"/>
        <v>141.1764705882353</v>
      </c>
      <c r="L77" s="413">
        <v>17</v>
      </c>
      <c r="M77" s="19">
        <f t="shared" si="52"/>
        <v>2317.3770491803302</v>
      </c>
      <c r="N77" s="18">
        <f t="shared" si="46"/>
        <v>136.31629701060766</v>
      </c>
      <c r="O77" s="20">
        <f t="shared" si="47"/>
        <v>0</v>
      </c>
      <c r="P77" s="21">
        <f t="shared" si="48"/>
        <v>-4.8601735776276485</v>
      </c>
      <c r="Q77" s="406">
        <f t="shared" si="49"/>
        <v>0.96557377049180415</v>
      </c>
      <c r="R77" s="573"/>
      <c r="S77" s="49">
        <v>0.67291666666666661</v>
      </c>
      <c r="T77" s="49">
        <v>0.71527777777777768</v>
      </c>
      <c r="U77" s="407">
        <f t="shared" si="54"/>
        <v>4.9999999999999822</v>
      </c>
      <c r="V77" s="414">
        <f t="shared" si="53"/>
        <v>60.999999999999943</v>
      </c>
      <c r="W77" s="25"/>
      <c r="X77" s="25"/>
      <c r="Y77" s="28"/>
      <c r="Z77" s="28"/>
      <c r="AA77" s="568"/>
      <c r="AB77" s="569"/>
      <c r="AC77" s="50"/>
      <c r="AD77" s="27"/>
      <c r="AE77" s="20">
        <f t="shared" si="43"/>
        <v>-82.622950819669768</v>
      </c>
      <c r="AF77" s="406">
        <f t="shared" si="50"/>
        <v>0.96557377049180426</v>
      </c>
      <c r="AG77" s="573"/>
    </row>
    <row r="78" spans="1:33" ht="16.5" customHeight="1">
      <c r="A78" s="579" t="s">
        <v>2536</v>
      </c>
      <c r="B78" s="39" t="s">
        <v>2519</v>
      </c>
      <c r="C78" s="570"/>
      <c r="D78" s="571"/>
      <c r="E78" s="408"/>
      <c r="F78" s="42"/>
      <c r="G78" s="18"/>
      <c r="H78" s="415"/>
      <c r="I78" s="32">
        <v>16</v>
      </c>
      <c r="J78" s="43">
        <v>2400</v>
      </c>
      <c r="K78" s="18">
        <f t="shared" si="45"/>
        <v>150</v>
      </c>
      <c r="L78" s="32">
        <v>16</v>
      </c>
      <c r="M78" s="19">
        <f>AVERAGE(M70:M77)</f>
        <v>2298.3813128053839</v>
      </c>
      <c r="N78" s="18">
        <f t="shared" si="46"/>
        <v>143.64883205033649</v>
      </c>
      <c r="O78" s="20">
        <f t="shared" si="47"/>
        <v>0</v>
      </c>
      <c r="P78" s="21">
        <f t="shared" si="48"/>
        <v>-6.3511679496635054</v>
      </c>
      <c r="Q78" s="406">
        <f t="shared" si="49"/>
        <v>0.95765888033557667</v>
      </c>
      <c r="R78" s="573"/>
      <c r="S78" s="49"/>
      <c r="T78" s="49"/>
      <c r="U78" s="18"/>
      <c r="V78" s="414"/>
      <c r="W78" s="18"/>
      <c r="X78" s="18"/>
      <c r="Y78" s="33">
        <f>SUM(Y70:Y77)</f>
        <v>0</v>
      </c>
      <c r="Z78" s="33">
        <f>SUM(Z70:Z77)</f>
        <v>0</v>
      </c>
      <c r="AA78" s="572"/>
      <c r="AB78" s="572"/>
      <c r="AC78" s="33">
        <v>8</v>
      </c>
      <c r="AD78" s="33">
        <f>SUM(AD70:AD77)</f>
        <v>0</v>
      </c>
      <c r="AE78" s="20">
        <f t="shared" si="43"/>
        <v>-101.61868719461609</v>
      </c>
      <c r="AF78" s="406">
        <f t="shared" si="50"/>
        <v>0.95765888033557667</v>
      </c>
      <c r="AG78" s="573"/>
    </row>
    <row r="79" spans="1:33">
      <c r="D79" s="35"/>
      <c r="E79" s="35"/>
      <c r="H79" s="124"/>
    </row>
    <row r="80" spans="1:33">
      <c r="H80" s="124"/>
    </row>
  </sheetData>
  <mergeCells count="205">
    <mergeCell ref="AG70:AG78"/>
    <mergeCell ref="C71:D71"/>
    <mergeCell ref="AA71:AB71"/>
    <mergeCell ref="C72:D72"/>
    <mergeCell ref="AA72:AB72"/>
    <mergeCell ref="C73:D73"/>
    <mergeCell ref="AA73:AB73"/>
    <mergeCell ref="C74:D74"/>
    <mergeCell ref="AA74:AB74"/>
    <mergeCell ref="C75:D75"/>
    <mergeCell ref="AA68:AB68"/>
    <mergeCell ref="C69:D69"/>
    <mergeCell ref="AA69:AB69"/>
    <mergeCell ref="A70:A78"/>
    <mergeCell ref="C70:D70"/>
    <mergeCell ref="R70:R78"/>
    <mergeCell ref="AA70:AB70"/>
    <mergeCell ref="AA75:AB75"/>
    <mergeCell ref="A64:A69"/>
    <mergeCell ref="C64:D64"/>
    <mergeCell ref="R64:R69"/>
    <mergeCell ref="AA64:AB64"/>
    <mergeCell ref="C76:D76"/>
    <mergeCell ref="AA76:AB76"/>
    <mergeCell ref="C77:D77"/>
    <mergeCell ref="AA77:AB77"/>
    <mergeCell ref="C78:D78"/>
    <mergeCell ref="AA78:AB78"/>
    <mergeCell ref="A41:A50"/>
    <mergeCell ref="C41:D41"/>
    <mergeCell ref="R41:R50"/>
    <mergeCell ref="AA41:AB41"/>
    <mergeCell ref="AA46:AB46"/>
    <mergeCell ref="C47:D47"/>
    <mergeCell ref="AG64:AG69"/>
    <mergeCell ref="C65:D65"/>
    <mergeCell ref="AA65:AB65"/>
    <mergeCell ref="C66:D66"/>
    <mergeCell ref="AA66:AB66"/>
    <mergeCell ref="C67:D67"/>
    <mergeCell ref="AG56:AG63"/>
    <mergeCell ref="C57:D57"/>
    <mergeCell ref="AA57:AB57"/>
    <mergeCell ref="C58:D58"/>
    <mergeCell ref="AA58:AB58"/>
    <mergeCell ref="AA59:AB59"/>
    <mergeCell ref="AA60:AB60"/>
    <mergeCell ref="C61:D61"/>
    <mergeCell ref="AA61:AB61"/>
    <mergeCell ref="C62:D62"/>
    <mergeCell ref="AA67:AB67"/>
    <mergeCell ref="C68:D68"/>
    <mergeCell ref="AA55:AB55"/>
    <mergeCell ref="A56:A63"/>
    <mergeCell ref="C56:D56"/>
    <mergeCell ref="R56:R63"/>
    <mergeCell ref="AA56:AB56"/>
    <mergeCell ref="AA62:AB62"/>
    <mergeCell ref="C63:D63"/>
    <mergeCell ref="AA63:AB63"/>
    <mergeCell ref="A51:A55"/>
    <mergeCell ref="C51:D51"/>
    <mergeCell ref="R51:R55"/>
    <mergeCell ref="AA51:AB51"/>
    <mergeCell ref="AG51:AG55"/>
    <mergeCell ref="C52:D52"/>
    <mergeCell ref="AA52:AB52"/>
    <mergeCell ref="C53:D53"/>
    <mergeCell ref="AA53:AB53"/>
    <mergeCell ref="C54:D54"/>
    <mergeCell ref="AA47:AB47"/>
    <mergeCell ref="C48:D48"/>
    <mergeCell ref="AA48:AB48"/>
    <mergeCell ref="C49:D49"/>
    <mergeCell ref="C50:D50"/>
    <mergeCell ref="AA50:AB50"/>
    <mergeCell ref="AG41:AG50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C46:D46"/>
    <mergeCell ref="AA54:AB54"/>
    <mergeCell ref="C55:D55"/>
    <mergeCell ref="A31:A40"/>
    <mergeCell ref="C31:D31"/>
    <mergeCell ref="R31:R40"/>
    <mergeCell ref="AA31:AB31"/>
    <mergeCell ref="AA36:AB36"/>
    <mergeCell ref="C37:D37"/>
    <mergeCell ref="AG31:AG40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9:D39"/>
    <mergeCell ref="C40:D40"/>
    <mergeCell ref="AA40:AB40"/>
    <mergeCell ref="AG23:AG30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29:D29"/>
    <mergeCell ref="AA29:AB29"/>
    <mergeCell ref="C30:D30"/>
    <mergeCell ref="AA30:AB30"/>
    <mergeCell ref="A23:A30"/>
    <mergeCell ref="C23:D23"/>
    <mergeCell ref="R23:R30"/>
    <mergeCell ref="AA23:AB23"/>
    <mergeCell ref="AA28:AB28"/>
    <mergeCell ref="A17:A22"/>
    <mergeCell ref="C17:D17"/>
    <mergeCell ref="R17:R22"/>
    <mergeCell ref="AA17:AB17"/>
    <mergeCell ref="AG17:AG22"/>
    <mergeCell ref="C18:D18"/>
    <mergeCell ref="AA18:AB18"/>
    <mergeCell ref="C19:D19"/>
    <mergeCell ref="AA19:AB19"/>
    <mergeCell ref="C20:D20"/>
    <mergeCell ref="AG12:AG16"/>
    <mergeCell ref="C13:D13"/>
    <mergeCell ref="AA13:AB13"/>
    <mergeCell ref="C14:D14"/>
    <mergeCell ref="AA14:AB14"/>
    <mergeCell ref="C15:D15"/>
    <mergeCell ref="AA15:AB15"/>
    <mergeCell ref="C16:D16"/>
    <mergeCell ref="AA16:AB16"/>
    <mergeCell ref="AA20:AB20"/>
    <mergeCell ref="C21:D21"/>
    <mergeCell ref="AA21:AB21"/>
    <mergeCell ref="C22:D22"/>
    <mergeCell ref="AA22:AB22"/>
    <mergeCell ref="A12:A16"/>
    <mergeCell ref="C12:D12"/>
    <mergeCell ref="R12:R16"/>
    <mergeCell ref="AA12:AB12"/>
    <mergeCell ref="C7:D7"/>
    <mergeCell ref="AA7:AB7"/>
    <mergeCell ref="C8:D8"/>
    <mergeCell ref="AA8:AB8"/>
    <mergeCell ref="C9:D9"/>
    <mergeCell ref="AA9:AB9"/>
    <mergeCell ref="A5:A11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C11:D11"/>
    <mergeCell ref="AA11:AB11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7:O75 O63:O64 O78 O5:O12 O16:O18 O22:O38 O40:O61">
    <cfRule type="cellIs" dxfId="1456" priority="60" operator="greaterThan">
      <formula>0</formula>
    </cfRule>
  </conditionalFormatting>
  <conditionalFormatting sqref="P5:P10 P67:P68 AE67:AE68 P70:P75 P31:P38 P64 P12 P16:P18 P23:P29 P56:P61 P41:P54 AE5:AE64 AE70:AE78">
    <cfRule type="cellIs" dxfId="1455" priority="64" operator="lessThan">
      <formula>0</formula>
    </cfRule>
  </conditionalFormatting>
  <conditionalFormatting sqref="AF67:AF68 Q67:Q75 Q63:Q64 Q78 Q5:Q12 Q16:Q18 Q22:Q38 Q40:Q61 AF5:AF64 AF70:AF78">
    <cfRule type="cellIs" dxfId="1454" priority="61" operator="greaterThan">
      <formula>1</formula>
    </cfRule>
    <cfRule type="cellIs" dxfId="1453" priority="62" operator="lessThan">
      <formula>0.8</formula>
    </cfRule>
  </conditionalFormatting>
  <conditionalFormatting sqref="AG17:AG18 R17:R18 AG67 R67:R75 R22:R28 AG22:AG28 AG30:AG38 R30:R38 R40:R48 AG40:AG48 AG63:AG64 R63:R64 R78 AG5:AG12 R5:R12 R50:R61 AG50:AG61">
    <cfRule type="cellIs" dxfId="1452" priority="66" operator="lessThan">
      <formula>0.8</formula>
    </cfRule>
  </conditionalFormatting>
  <conditionalFormatting sqref="AG51">
    <cfRule type="cellIs" dxfId="1451" priority="68" operator="lessThan">
      <formula>0.8</formula>
    </cfRule>
  </conditionalFormatting>
  <conditionalFormatting sqref="AG23:AG28">
    <cfRule type="cellIs" dxfId="1450" priority="65" operator="lessThan">
      <formula>0.8</formula>
    </cfRule>
  </conditionalFormatting>
  <conditionalFormatting sqref="AG31">
    <cfRule type="cellIs" dxfId="1449" priority="67" operator="lessThan">
      <formula>0.8</formula>
    </cfRule>
  </conditionalFormatting>
  <conditionalFormatting sqref="AG41:AG48">
    <cfRule type="cellIs" dxfId="1448" priority="63" operator="lessThan">
      <formula>0.8</formula>
    </cfRule>
  </conditionalFormatting>
  <conditionalFormatting sqref="AE69">
    <cfRule type="cellIs" dxfId="1447" priority="59" operator="lessThan">
      <formula>0</formula>
    </cfRule>
  </conditionalFormatting>
  <conditionalFormatting sqref="AF69">
    <cfRule type="cellIs" dxfId="1446" priority="57" operator="greaterThan">
      <formula>1</formula>
    </cfRule>
    <cfRule type="cellIs" dxfId="1445" priority="58" operator="lessThan">
      <formula>0.8</formula>
    </cfRule>
  </conditionalFormatting>
  <conditionalFormatting sqref="O19:O20">
    <cfRule type="cellIs" dxfId="1444" priority="52" operator="greaterThan">
      <formula>0</formula>
    </cfRule>
  </conditionalFormatting>
  <conditionalFormatting sqref="P19:P20">
    <cfRule type="cellIs" dxfId="1443" priority="55" operator="lessThan">
      <formula>0</formula>
    </cfRule>
  </conditionalFormatting>
  <conditionalFormatting sqref="Q19:Q20">
    <cfRule type="cellIs" dxfId="1442" priority="53" operator="greaterThan">
      <formula>1</formula>
    </cfRule>
    <cfRule type="cellIs" dxfId="1441" priority="54" operator="lessThan">
      <formula>0.8</formula>
    </cfRule>
  </conditionalFormatting>
  <conditionalFormatting sqref="R19:R20 AG19:AG20">
    <cfRule type="cellIs" dxfId="1440" priority="56" operator="lessThan">
      <formula>0.8</formula>
    </cfRule>
  </conditionalFormatting>
  <conditionalFormatting sqref="O13:O15">
    <cfRule type="cellIs" dxfId="1439" priority="48" operator="greaterThan">
      <formula>0</formula>
    </cfRule>
  </conditionalFormatting>
  <conditionalFormatting sqref="P13:P15">
    <cfRule type="cellIs" dxfId="1438" priority="51" operator="lessThan">
      <formula>0</formula>
    </cfRule>
  </conditionalFormatting>
  <conditionalFormatting sqref="Q13:Q15">
    <cfRule type="cellIs" dxfId="1437" priority="49" operator="greaterThan">
      <formula>1</formula>
    </cfRule>
    <cfRule type="cellIs" dxfId="1436" priority="50" operator="lessThan">
      <formula>0.8</formula>
    </cfRule>
  </conditionalFormatting>
  <conditionalFormatting sqref="O62">
    <cfRule type="cellIs" dxfId="1435" priority="43" operator="greaterThan">
      <formula>0</formula>
    </cfRule>
  </conditionalFormatting>
  <conditionalFormatting sqref="P62">
    <cfRule type="cellIs" dxfId="1434" priority="46" operator="lessThan">
      <formula>0</formula>
    </cfRule>
  </conditionalFormatting>
  <conditionalFormatting sqref="Q62">
    <cfRule type="cellIs" dxfId="1433" priority="44" operator="greaterThan">
      <formula>1</formula>
    </cfRule>
    <cfRule type="cellIs" dxfId="1432" priority="45" operator="lessThan">
      <formula>0.8</formula>
    </cfRule>
  </conditionalFormatting>
  <conditionalFormatting sqref="R62 AG62">
    <cfRule type="cellIs" dxfId="1431" priority="47" operator="lessThan">
      <formula>0.8</formula>
    </cfRule>
  </conditionalFormatting>
  <conditionalFormatting sqref="R49 AG49">
    <cfRule type="cellIs" dxfId="1430" priority="42" operator="lessThan">
      <formula>0.8</formula>
    </cfRule>
  </conditionalFormatting>
  <conditionalFormatting sqref="AG49">
    <cfRule type="cellIs" dxfId="1429" priority="41" operator="lessThan">
      <formula>0.8</formula>
    </cfRule>
  </conditionalFormatting>
  <conditionalFormatting sqref="O66">
    <cfRule type="cellIs" dxfId="1428" priority="36" operator="greaterThan">
      <formula>0</formula>
    </cfRule>
  </conditionalFormatting>
  <conditionalFormatting sqref="P66 AE66">
    <cfRule type="cellIs" dxfId="1427" priority="39" operator="lessThan">
      <formula>0</formula>
    </cfRule>
  </conditionalFormatting>
  <conditionalFormatting sqref="Q66 AF66">
    <cfRule type="cellIs" dxfId="1426" priority="37" operator="greaterThan">
      <formula>1</formula>
    </cfRule>
    <cfRule type="cellIs" dxfId="1425" priority="38" operator="lessThan">
      <formula>0.8</formula>
    </cfRule>
  </conditionalFormatting>
  <conditionalFormatting sqref="R66 AG66">
    <cfRule type="cellIs" dxfId="1424" priority="40" operator="lessThan">
      <formula>0.8</formula>
    </cfRule>
  </conditionalFormatting>
  <conditionalFormatting sqref="O39">
    <cfRule type="cellIs" dxfId="1423" priority="31" operator="greaterThan">
      <formula>0</formula>
    </cfRule>
  </conditionalFormatting>
  <conditionalFormatting sqref="P39">
    <cfRule type="cellIs" dxfId="1422" priority="34" operator="lessThan">
      <formula>0</formula>
    </cfRule>
  </conditionalFormatting>
  <conditionalFormatting sqref="Q39">
    <cfRule type="cellIs" dxfId="1421" priority="32" operator="greaterThan">
      <formula>1</formula>
    </cfRule>
    <cfRule type="cellIs" dxfId="1420" priority="33" operator="lessThan">
      <formula>0.8</formula>
    </cfRule>
  </conditionalFormatting>
  <conditionalFormatting sqref="R39 AG39">
    <cfRule type="cellIs" dxfId="1419" priority="35" operator="lessThan">
      <formula>0.8</formula>
    </cfRule>
  </conditionalFormatting>
  <conditionalFormatting sqref="O76">
    <cfRule type="cellIs" dxfId="1418" priority="26" operator="greaterThan">
      <formula>0</formula>
    </cfRule>
  </conditionalFormatting>
  <conditionalFormatting sqref="P76">
    <cfRule type="cellIs" dxfId="1417" priority="29" operator="lessThan">
      <formula>0</formula>
    </cfRule>
  </conditionalFormatting>
  <conditionalFormatting sqref="Q76">
    <cfRule type="cellIs" dxfId="1416" priority="27" operator="greaterThan">
      <formula>1</formula>
    </cfRule>
    <cfRule type="cellIs" dxfId="1415" priority="28" operator="lessThan">
      <formula>0.8</formula>
    </cfRule>
  </conditionalFormatting>
  <conditionalFormatting sqref="R76">
    <cfRule type="cellIs" dxfId="1414" priority="30" operator="lessThan">
      <formula>0.8</formula>
    </cfRule>
  </conditionalFormatting>
  <conditionalFormatting sqref="O21">
    <cfRule type="cellIs" dxfId="1413" priority="21" operator="greaterThan">
      <formula>0</formula>
    </cfRule>
  </conditionalFormatting>
  <conditionalFormatting sqref="P21">
    <cfRule type="cellIs" dxfId="1412" priority="24" operator="lessThan">
      <formula>0</formula>
    </cfRule>
  </conditionalFormatting>
  <conditionalFormatting sqref="Q21">
    <cfRule type="cellIs" dxfId="1411" priority="22" operator="greaterThan">
      <formula>1</formula>
    </cfRule>
    <cfRule type="cellIs" dxfId="1410" priority="23" operator="lessThan">
      <formula>0.8</formula>
    </cfRule>
  </conditionalFormatting>
  <conditionalFormatting sqref="R21 AG21">
    <cfRule type="cellIs" dxfId="1409" priority="25" operator="lessThan">
      <formula>0.8</formula>
    </cfRule>
  </conditionalFormatting>
  <conditionalFormatting sqref="R29 AG29">
    <cfRule type="cellIs" dxfId="1408" priority="20" operator="lessThan">
      <formula>0.8</formula>
    </cfRule>
  </conditionalFormatting>
  <conditionalFormatting sqref="AG29">
    <cfRule type="cellIs" dxfId="1407" priority="19" operator="lessThan">
      <formula>0.8</formula>
    </cfRule>
  </conditionalFormatting>
  <conditionalFormatting sqref="O65">
    <cfRule type="cellIs" dxfId="1406" priority="14" operator="greaterThan">
      <formula>0</formula>
    </cfRule>
  </conditionalFormatting>
  <conditionalFormatting sqref="P65 AE65">
    <cfRule type="cellIs" dxfId="1405" priority="17" operator="lessThan">
      <formula>0</formula>
    </cfRule>
  </conditionalFormatting>
  <conditionalFormatting sqref="Q65 AF65">
    <cfRule type="cellIs" dxfId="1404" priority="15" operator="greaterThan">
      <formula>1</formula>
    </cfRule>
    <cfRule type="cellIs" dxfId="1403" priority="16" operator="lessThan">
      <formula>0.8</formula>
    </cfRule>
  </conditionalFormatting>
  <conditionalFormatting sqref="R65 AG65">
    <cfRule type="cellIs" dxfId="1402" priority="18" operator="lessThan">
      <formula>0.8</formula>
    </cfRule>
  </conditionalFormatting>
  <conditionalFormatting sqref="P11">
    <cfRule type="cellIs" dxfId="1401" priority="13" operator="lessThan">
      <formula>0</formula>
    </cfRule>
  </conditionalFormatting>
  <conditionalFormatting sqref="P22">
    <cfRule type="cellIs" dxfId="1400" priority="12" operator="lessThan">
      <formula>0</formula>
    </cfRule>
  </conditionalFormatting>
  <conditionalFormatting sqref="P30">
    <cfRule type="cellIs" dxfId="1399" priority="11" operator="lessThan">
      <formula>0</formula>
    </cfRule>
  </conditionalFormatting>
  <conditionalFormatting sqref="P40">
    <cfRule type="cellIs" dxfId="1398" priority="10" operator="lessThan">
      <formula>0</formula>
    </cfRule>
  </conditionalFormatting>
  <conditionalFormatting sqref="P55">
    <cfRule type="cellIs" dxfId="1397" priority="9" operator="lessThan">
      <formula>0</formula>
    </cfRule>
  </conditionalFormatting>
  <conditionalFormatting sqref="P63">
    <cfRule type="cellIs" dxfId="1396" priority="8" operator="lessThan">
      <formula>0</formula>
    </cfRule>
  </conditionalFormatting>
  <conditionalFormatting sqref="P69">
    <cfRule type="cellIs" dxfId="1395" priority="7" operator="lessThan">
      <formula>0</formula>
    </cfRule>
  </conditionalFormatting>
  <conditionalFormatting sqref="P78">
    <cfRule type="cellIs" dxfId="1394" priority="6" operator="lessThan">
      <formula>0</formula>
    </cfRule>
  </conditionalFormatting>
  <conditionalFormatting sqref="O77">
    <cfRule type="cellIs" dxfId="1393" priority="1" operator="greaterThan">
      <formula>0</formula>
    </cfRule>
  </conditionalFormatting>
  <conditionalFormatting sqref="P77">
    <cfRule type="cellIs" dxfId="1392" priority="4" operator="lessThan">
      <formula>0</formula>
    </cfRule>
  </conditionalFormatting>
  <conditionalFormatting sqref="Q77">
    <cfRule type="cellIs" dxfId="1391" priority="2" operator="greaterThan">
      <formula>1</formula>
    </cfRule>
    <cfRule type="cellIs" dxfId="1390" priority="3" operator="lessThan">
      <formula>0.8</formula>
    </cfRule>
  </conditionalFormatting>
  <conditionalFormatting sqref="R77">
    <cfRule type="cellIs" dxfId="1389" priority="5" operator="lessThan">
      <formula>0.8</formula>
    </cfRule>
  </conditionalFormatting>
  <dataValidations count="1">
    <dataValidation type="list" allowBlank="1" showInputMessage="1" showErrorMessage="1" sqref="AA5:AB9 AB10:AB11 AB68 AB13:AB64 AA10:AA68 AA69:AB7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2375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2376</v>
      </c>
      <c r="C3" s="555" t="str">
        <f>TEXT('0524 4度C'!A2,"yyyy.mm.ddaaaa")</f>
        <v>2026.05.24星期日</v>
      </c>
      <c r="D3" s="556"/>
      <c r="E3" s="54" t="s">
        <v>2377</v>
      </c>
      <c r="F3" s="557">
        <f>'0524 4度C'!D1</f>
        <v>191093</v>
      </c>
      <c r="G3" s="558"/>
      <c r="H3" s="54" t="s">
        <v>2378</v>
      </c>
      <c r="I3" s="559">
        <f>'0524 4度C'!F1</f>
        <v>6401946.2199999997</v>
      </c>
      <c r="J3" s="560"/>
      <c r="K3" s="55"/>
      <c r="L3" s="56"/>
      <c r="M3" s="57"/>
      <c r="N3" s="57"/>
    </row>
    <row r="4" spans="2:17" ht="28.5" customHeight="1">
      <c r="B4" s="561" t="s">
        <v>2379</v>
      </c>
      <c r="C4" s="547" t="s">
        <v>2380</v>
      </c>
      <c r="D4" s="548"/>
      <c r="E4" s="564" t="s">
        <v>2381</v>
      </c>
      <c r="F4" s="565"/>
      <c r="G4" s="564" t="s">
        <v>2382</v>
      </c>
      <c r="H4" s="565"/>
      <c r="I4" s="564" t="s">
        <v>2383</v>
      </c>
      <c r="J4" s="565"/>
      <c r="K4" s="545" t="s">
        <v>2384</v>
      </c>
      <c r="L4" s="546"/>
      <c r="M4" s="546" t="s">
        <v>2385</v>
      </c>
      <c r="N4" s="546"/>
    </row>
    <row r="5" spans="2:17" ht="28.5" customHeight="1">
      <c r="B5" s="562"/>
      <c r="C5" s="547" t="s">
        <v>2386</v>
      </c>
      <c r="D5" s="548"/>
      <c r="E5" s="547" t="s">
        <v>2387</v>
      </c>
      <c r="F5" s="548"/>
      <c r="G5" s="549" t="s">
        <v>2388</v>
      </c>
      <c r="H5" s="550"/>
      <c r="I5" s="551" t="s">
        <v>2389</v>
      </c>
      <c r="J5" s="552"/>
      <c r="K5" s="58" t="s">
        <v>2390</v>
      </c>
      <c r="L5" s="59" t="s">
        <v>2391</v>
      </c>
      <c r="M5" s="58" t="s">
        <v>2392</v>
      </c>
      <c r="N5" s="59" t="s">
        <v>2393</v>
      </c>
    </row>
    <row r="6" spans="2:17" ht="28.5" customHeight="1">
      <c r="B6" s="562"/>
      <c r="C6" s="547" t="s">
        <v>145</v>
      </c>
      <c r="D6" s="548"/>
      <c r="E6" s="539">
        <f>AVERAGE(D13:M13)</f>
        <v>153.97699376828123</v>
      </c>
      <c r="F6" s="540">
        <f>AVERAGE(D31:O31,D13:J13)</f>
        <v>160.39385009568932</v>
      </c>
      <c r="G6" s="541">
        <f>AVERAGE(D13:J13)</f>
        <v>160.39385009568932</v>
      </c>
      <c r="H6" s="542"/>
      <c r="I6" s="541">
        <f>AVERAGE(K13:M13)</f>
        <v>139.00432900432898</v>
      </c>
      <c r="J6" s="542"/>
      <c r="K6" s="543">
        <f>'0524 4度C'!Y2</f>
        <v>0</v>
      </c>
      <c r="L6" s="528">
        <f>'0524 4度C'!Z2</f>
        <v>0</v>
      </c>
      <c r="M6" s="544">
        <f>'0524 4度C'!AC2</f>
        <v>60</v>
      </c>
      <c r="N6" s="528">
        <f>'0524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147.59878074533151</v>
      </c>
      <c r="F7" s="532">
        <f>AVERAGE(D32:O32,D14:J14)</f>
        <v>153.90140372728246</v>
      </c>
      <c r="G7" s="533">
        <f>AVERAGE(D14:J14)</f>
        <v>153.90140372728246</v>
      </c>
      <c r="H7" s="534"/>
      <c r="I7" s="533">
        <f>AVERAGE(K14:M14)</f>
        <v>132.89266045411264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0.95800447562712421</v>
      </c>
      <c r="F8" s="536">
        <f>AVERAGE(D15:J15,D33:O33)</f>
        <v>0.95885423728998642</v>
      </c>
      <c r="G8" s="537">
        <f>AVERAGE(D15:J15)</f>
        <v>0.95885423728998642</v>
      </c>
      <c r="H8" s="538"/>
      <c r="I8" s="537">
        <f>AVERAGE(K15:M15)</f>
        <v>0.95602169841377937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2394</v>
      </c>
      <c r="N9" s="57"/>
      <c r="O9" s="57"/>
      <c r="P9" s="57"/>
      <c r="Q9" s="57"/>
    </row>
    <row r="10" spans="2:17" ht="30" customHeight="1">
      <c r="B10" s="511" t="s">
        <v>2395</v>
      </c>
      <c r="C10" s="512"/>
      <c r="D10" s="513" t="s">
        <v>2396</v>
      </c>
      <c r="E10" s="514"/>
      <c r="F10" s="514"/>
      <c r="G10" s="514"/>
      <c r="H10" s="514"/>
      <c r="I10" s="514"/>
      <c r="J10" s="515"/>
      <c r="K10" s="516" t="s">
        <v>2397</v>
      </c>
      <c r="L10" s="517"/>
      <c r="M10" s="518"/>
      <c r="P10" s="63"/>
      <c r="Q10" s="63"/>
    </row>
    <row r="11" spans="2:17" ht="17.25" customHeight="1">
      <c r="B11" s="519" t="s">
        <v>2398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2399</v>
      </c>
      <c r="C13" s="70" t="s">
        <v>213</v>
      </c>
      <c r="D13" s="71">
        <f>SUMIFS('0524 4度C'!$K:$K,'0524 4度C'!$A:$A,"新豐6線",'0524 4度C'!$B:$B,"平均")</f>
        <v>127.65957446808511</v>
      </c>
      <c r="E13" s="72">
        <f>SUMIFS('0524 4度C'!$K:$K,'0524 4度C'!$A:$A,"新豐2線",'0524 4度C'!$B:$B,"平均")</f>
        <v>88.235294117647058</v>
      </c>
      <c r="F13" s="73">
        <f>SUMIFS('0524 4度C'!$K:$K,'0524 4度C'!$A:$A,"新豐5線",'0524 4度C'!$B:$B,"平均")</f>
        <v>107.14285714285714</v>
      </c>
      <c r="G13" s="73">
        <f>SUMIFS('0524 4度C'!$K:$K,'0524 4度C'!$A:$A,"新豐7線",'0524 4度C'!$B:$B,"平均")</f>
        <v>121.05263157894737</v>
      </c>
      <c r="H13" s="73">
        <f>SUMIFS('0524 4度C'!$K:$K,'0524 4度C'!$A:$A,"新豐3線",'0524 4度C'!$B:$B,"平均")</f>
        <v>255.81395348837211</v>
      </c>
      <c r="I13" s="73">
        <f>SUMIFS('0524 4度C'!$K:$K,'0524 4度C'!$A:$A,"新豐1線",'0524 4度C'!$B:$B,"平均")</f>
        <v>103.70370370370371</v>
      </c>
      <c r="J13" s="74">
        <f>SUMIFS('0524 4度C'!$K:$K,'0524 4度C'!$A:$A,"新豐10線",'0524 4度C'!$B:$B,"平均")</f>
        <v>319.14893617021278</v>
      </c>
      <c r="K13" s="75">
        <f>SUMIFS('0524 4度C'!$K:$K,'0524 4度C'!$A:$A,"新豐8線",'0524 4度C'!$B:$B,"平均")</f>
        <v>137.14285714285714</v>
      </c>
      <c r="L13" s="76">
        <f>SUMIFS('0524 4度C'!$K:$K,'0524 4度C'!$A:$A,"新豐9線",'0524 4度C'!$B:$B,"平均")</f>
        <v>129.87012987012986</v>
      </c>
      <c r="M13" s="74">
        <f>SUMIFS('0524 4度C'!$K:$K,'0524 4度C'!$A:$A,"新豐4線",'0524 4度C'!$B:$B,"平均")</f>
        <v>150</v>
      </c>
    </row>
    <row r="14" spans="2:17" ht="39.6" customHeight="1">
      <c r="B14" s="524"/>
      <c r="C14" s="77" t="s">
        <v>2400</v>
      </c>
      <c r="D14" s="78">
        <f>SUMIFS('0524 4度C'!$N:$N,'0524 4度C'!$A:$A,"新豐6線",'0524 4度C'!$B:$B,"平均")</f>
        <v>122.06726726726727</v>
      </c>
      <c r="E14" s="79">
        <f>SUMIFS('0524 4度C'!$N:$N,'0524 4度C'!$A:$A,"新豐2線",'0524 4度C'!$B:$B,"平均")</f>
        <v>84.339473750144052</v>
      </c>
      <c r="F14" s="79">
        <f>SUMIFS('0524 4度C'!$N:$N,'0524 4度C'!$A:$A,"新豐5線",'0524 4度C'!$B:$B,"平均")</f>
        <v>102.80075931949969</v>
      </c>
      <c r="G14" s="79">
        <f>SUMIFS('0524 4度C'!$N:$N,'0524 4度C'!$A:$A,"新豐7線",'0524 4度C'!$B:$B,"平均")</f>
        <v>115.84141869704732</v>
      </c>
      <c r="H14" s="79">
        <f>SUMIFS('0524 4度C'!$N:$N,'0524 4度C'!$A:$A,"新豐3線",'0524 4度C'!$B:$B,"平均")</f>
        <v>244.93440861258949</v>
      </c>
      <c r="I14" s="79">
        <f>SUMIFS('0524 4度C'!$N:$N,'0524 4度C'!$A:$A,"新豐1線",'0524 4度C'!$B:$B,"平均")</f>
        <v>99.815831137412587</v>
      </c>
      <c r="J14" s="80">
        <f>SUMIFS('0524 4度C'!$N:$N,'0524 4度C'!$A:$A,"新豐10線",'0524 4度C'!$B:$B,"平均")</f>
        <v>307.51066730701666</v>
      </c>
      <c r="K14" s="81">
        <f>SUMIFS('0524 4度C'!$N:$N,'0524 4度C'!$A:$A,"新豐8線",'0524 4度C'!$B:$B,"平均")</f>
        <v>130.96664982326786</v>
      </c>
      <c r="L14" s="82">
        <f>SUMIFS('0524 4度C'!$N:$N,'0524 4度C'!$A:$A,"新豐9線",'0524 4度C'!$B:$B,"平均")</f>
        <v>124.2171580834282</v>
      </c>
      <c r="M14" s="80">
        <f>SUMIFS('0524 4度C'!$N:$N,'0524 4度C'!$A:$A,"新豐4線",'0524 4度C'!$B:$B,"平均")</f>
        <v>143.49417345564191</v>
      </c>
    </row>
    <row r="15" spans="2:17" ht="40.15" customHeight="1">
      <c r="B15" s="525"/>
      <c r="C15" s="83" t="s">
        <v>2401</v>
      </c>
      <c r="D15" s="84">
        <f t="shared" ref="D15:M15" si="0">D14/D13</f>
        <v>0.95619359359359357</v>
      </c>
      <c r="E15" s="85">
        <f t="shared" si="0"/>
        <v>0.95584736916829927</v>
      </c>
      <c r="F15" s="85">
        <f t="shared" si="0"/>
        <v>0.95947375364866383</v>
      </c>
      <c r="G15" s="85">
        <f t="shared" si="0"/>
        <v>0.95695085010604308</v>
      </c>
      <c r="H15" s="85">
        <f t="shared" si="0"/>
        <v>0.9574708700310316</v>
      </c>
      <c r="I15" s="85">
        <f t="shared" si="0"/>
        <v>0.96250980025362132</v>
      </c>
      <c r="J15" s="86">
        <f t="shared" si="0"/>
        <v>0.96353342422865218</v>
      </c>
      <c r="K15" s="84">
        <f t="shared" si="0"/>
        <v>0.95496515496132817</v>
      </c>
      <c r="L15" s="85">
        <f t="shared" si="0"/>
        <v>0.95647211724239722</v>
      </c>
      <c r="M15" s="86">
        <f t="shared" si="0"/>
        <v>0.95662782303761273</v>
      </c>
    </row>
    <row r="16" spans="2:17" ht="17.25" customHeight="1">
      <c r="B16" s="526" t="s">
        <v>2402</v>
      </c>
      <c r="C16" s="87" t="s">
        <v>2403</v>
      </c>
      <c r="D16" s="88">
        <f>VLOOKUP("新豐6線",'0524 4度C'!$A:$T,19,0)</f>
        <v>0.70833333333333337</v>
      </c>
      <c r="E16" s="89">
        <f>VLOOKUP("新豐2線",'0524 4度C'!$A:$T,19,0)</f>
        <v>8.3333333333333329E-2</v>
      </c>
      <c r="F16" s="89">
        <f>VLOOKUP("新豐5線",'0524 4度C'!$A:$T,19,0)</f>
        <v>0.20833333333333334</v>
      </c>
      <c r="G16" s="89">
        <f>VLOOKUP("新豐7線",'0524 4度C'!$A:$T,19,0)</f>
        <v>0.20833333333333334</v>
      </c>
      <c r="H16" s="89">
        <f>VLOOKUP("新豐3線",'0524 4度C'!$A:$T,19,0)</f>
        <v>8.3333333333333329E-2</v>
      </c>
      <c r="I16" s="89">
        <f>VLOOKUP("新豐1線",'0524 4度C'!$A:$T,19,0)</f>
        <v>0.20833333333333334</v>
      </c>
      <c r="J16" s="90">
        <f>VLOOKUP("新豐10線",'0524 4度C'!$A:$T,19,0)</f>
        <v>0.20833333333333334</v>
      </c>
      <c r="K16" s="91">
        <f>VLOOKUP("新豐8線",'0524 4度C'!$A:$T,19,0)</f>
        <v>8.3333333333333329E-2</v>
      </c>
      <c r="L16" s="92">
        <f>VLOOKUP("新豐9線",'0524 4度C'!$A:$T,19,0)</f>
        <v>8.3333333333333329E-2</v>
      </c>
      <c r="M16" s="93">
        <f>VLOOKUP("新豐4線",'0524 4度C'!$A:$T,19,0)</f>
        <v>8.3333333333333329E-2</v>
      </c>
    </row>
    <row r="17" spans="2:13" ht="17.25" customHeight="1">
      <c r="B17" s="527"/>
      <c r="C17" s="87" t="s">
        <v>2404</v>
      </c>
      <c r="D17" s="91">
        <f>LOOKUP(2,1/(('0524 4度C'!$A:$A="新豐6線")*('0524 4度C'!$T:$T&lt;&gt;"")),'0524 4度C'!$T:$T)</f>
        <v>0.84097222222222223</v>
      </c>
      <c r="E17" s="89">
        <f>LOOKUP(2,1/(('0524 4度C'!$A:$A="新豐2線")*('0524 4度C'!$T:$T&lt;&gt;"")),'0524 4度C'!$T:$T)</f>
        <v>0.7270833333333333</v>
      </c>
      <c r="F17" s="89">
        <f>LOOKUP(2,1/(('0524 4度C'!$A:$A="新豐5線")*('0524 4度C'!$T:$T&lt;&gt;"")),'0524 4度C'!$T:$T)</f>
        <v>0.89861111111111103</v>
      </c>
      <c r="G17" s="89">
        <f>LOOKUP(2,1/(('0524 4度C'!$A:$A="新豐7線")*('0524 4度C'!$T:$T&lt;&gt;"")),'0524 4度C'!$T:$T)</f>
        <v>0.81041666666666679</v>
      </c>
      <c r="H17" s="89">
        <f>LOOKUP(2,1/(('0524 4度C'!$A:$A="新豐3線")*('0524 4度C'!$T:$T&lt;&gt;"")),'0524 4度C'!$T:$T)</f>
        <v>0.41250000000000003</v>
      </c>
      <c r="I17" s="89">
        <f>LOOKUP(2,1/(('0524 4度C'!$A:$A="新豐1線")*('0524 4度C'!$T:$T&lt;&gt;"")),'0524 4度C'!$T:$T)</f>
        <v>0.78541666666666676</v>
      </c>
      <c r="J17" s="90">
        <f>LOOKUP(2,1/(('0524 4度C'!$A:$A="新豐10線")*('0524 4度C'!$T:$T&lt;&gt;"")),'0524 4度C'!$T:$T)</f>
        <v>0.3972222222222222</v>
      </c>
      <c r="K17" s="88">
        <f>LOOKUP(2,1/(('0524 4度C'!$A:$A="新豐8線")*('0524 4度C'!$T:$T&lt;&gt;"")),'0524 4度C'!$T:$T)</f>
        <v>0.77291666666666659</v>
      </c>
      <c r="L17" s="89">
        <f>LOOKUP(2,1/(('0524 4度C'!$A:$A="新豐9線")*('0524 4度C'!$T:$T&lt;&gt;"")),'0524 4度C'!$T:$T)</f>
        <v>0.77708333333333324</v>
      </c>
      <c r="M17" s="90">
        <f>LOOKUP(2,1/(('0524 4度C'!$A:$A="新豐4線")*('0524 4度C'!$T:$T&lt;&gt;"")),'0524 4度C'!$T:$T)</f>
        <v>0.76597222222222205</v>
      </c>
    </row>
    <row r="18" spans="2:13" ht="17.25" customHeight="1">
      <c r="B18" s="505" t="s">
        <v>2405</v>
      </c>
      <c r="C18" s="94" t="s">
        <v>40</v>
      </c>
      <c r="D18" s="95">
        <f>SUMIFS('0524 4度C'!$Y:$Y,'0524 4度C'!$A:$A,"新豐6線",'0524 4度C'!$B:$B,"平均")</f>
        <v>0</v>
      </c>
      <c r="E18" s="96">
        <f>SUMIFS('0524 4度C'!$Y:$Y,'0524 4度C'!$A:$A,"新豐2線",'0524 4度C'!$B:$B,"平均")</f>
        <v>0</v>
      </c>
      <c r="F18" s="96">
        <f>SUMIFS('0524 4度C'!$Y:$Y,'0524 4度C'!$A:$A,"新豐5線",'0524 4度C'!$B:$B,"平均")</f>
        <v>0</v>
      </c>
      <c r="G18" s="96">
        <f>SUMIFS('0524 4度C'!$Y:$Y,'0524 4度C'!$A:$A,"新豐7線",'0524 4度C'!$B:$B,"平均")</f>
        <v>0</v>
      </c>
      <c r="H18" s="96">
        <f>SUMIFS('0524 4度C'!$Y:$Y,'0524 4度C'!$A:$A,"新豐3線",'0524 4度C'!$B:$B,"平均")</f>
        <v>0</v>
      </c>
      <c r="I18" s="96">
        <f>SUMIFS('0524 4度C'!$Y:$Y,'0524 4度C'!$A:$A,"新豐1線",'0524 4度C'!$B:$B,"平均")</f>
        <v>0</v>
      </c>
      <c r="J18" s="97">
        <f>SUMIFS('0524 4度C'!$Y:$Y,'0524 4度C'!$A:$A,"新豐10線",'0524 4度C'!$B:$B,"平均")</f>
        <v>0</v>
      </c>
      <c r="K18" s="98">
        <f>SUMIFS('0524 4度C'!$Y:$Y,'0524 4度C'!$A:$A,"新豐8線",'0524 4度C'!$B:$B,"平均")</f>
        <v>0</v>
      </c>
      <c r="L18" s="96">
        <f>SUMIFS('0524 4度C'!$Y:$Y,'0524 4度C'!$A:$A,"新豐9線",'0524 4度C'!$B:$B,"平均")</f>
        <v>0</v>
      </c>
      <c r="M18" s="97">
        <f>SUMIFS('0524 4度C'!$Y:$Y,'0524 4度C'!$A:$A,"新豐4線",'0524 4度C'!$B:$B,"平均")</f>
        <v>0</v>
      </c>
    </row>
    <row r="19" spans="2:13" ht="17.25" customHeight="1">
      <c r="B19" s="506"/>
      <c r="C19" s="94" t="s">
        <v>2406</v>
      </c>
      <c r="D19" s="95">
        <f>SUMIFS('0524 4度C'!$Z:$Z,'0524 4度C'!$A:$A,"新豐6線",'0524 4度C'!$B:$B,"平均")</f>
        <v>0</v>
      </c>
      <c r="E19" s="96">
        <f>SUMIFS('0524 4度C'!$Z:$Z,'0524 4度C'!$A:$A,"新豐2線",'0524 4度C'!$B:$B,"平均")</f>
        <v>0</v>
      </c>
      <c r="F19" s="96">
        <f>SUMIFS('0524 4度C'!$Z:$Z,'0524 4度C'!$A:$A,"新豐5線",'0524 4度C'!$B:$B,"平均")</f>
        <v>0</v>
      </c>
      <c r="G19" s="96">
        <f>SUMIFS('0524 4度C'!$Z:$Z,'0524 4度C'!$A:$A,"新豐7線",'0524 4度C'!$B:$B,"平均")</f>
        <v>0</v>
      </c>
      <c r="H19" s="96">
        <f>SUMIFS('0524 4度C'!$Z:$Z,'0524 4度C'!$A:$A,"新豐3線",'0524 4度C'!$B:$B,"平均")</f>
        <v>0</v>
      </c>
      <c r="I19" s="96">
        <f>SUMIFS('0524 4度C'!$Z:$Z,'0524 4度C'!$A:$A,"新豐1線",'0524 4度C'!$B:$B,"平均")</f>
        <v>0</v>
      </c>
      <c r="J19" s="97">
        <f>SUMIFS('0524 4度C'!$Z:$Z,'0524 4度C'!$A:$A,"新豐10線",'0524 4度C'!$B:$B,"平均")</f>
        <v>0</v>
      </c>
      <c r="K19" s="98">
        <f>SUMIFS('0524 4度C'!$Z:$Z,'0524 4度C'!$A:$A,"新豐8線",'0524 4度C'!$B:$B,"平均")</f>
        <v>0</v>
      </c>
      <c r="L19" s="96">
        <f>SUMIFS('0524 4度C'!$Z:$Z,'0524 4度C'!$A:$A,"新豐9線",'0524 4度C'!$B:$B,"平均")</f>
        <v>0</v>
      </c>
      <c r="M19" s="97">
        <f>SUMIFS('0524 4度C'!$Z:$Z,'0524 4度C'!$A:$A,"新豐4線",'0524 4度C'!$B:$B,"平均")</f>
        <v>0</v>
      </c>
    </row>
    <row r="20" spans="2:13" ht="17.25" customHeight="1">
      <c r="B20" s="505" t="s">
        <v>2407</v>
      </c>
      <c r="C20" s="94" t="s">
        <v>2408</v>
      </c>
      <c r="D20" s="95">
        <f>SUMIFS('0524 4度C'!$AC:$AC,'0524 4度C'!$A:$A,"新豐6線",'0524 4度C'!$B:$B,"平均")</f>
        <v>3</v>
      </c>
      <c r="E20" s="96">
        <f>SUMIFS('0524 4度C'!$AC:$AC,'0524 4度C'!$A:$A,"新豐2線",'0524 4度C'!$B:$B,"平均")</f>
        <v>5</v>
      </c>
      <c r="F20" s="96">
        <f>SUMIFS('0524 4度C'!$AC:$AC,'0524 4度C'!$A:$A,"新豐5線",'0524 4度C'!$B:$B,"平均")</f>
        <v>5</v>
      </c>
      <c r="G20" s="96">
        <f>SUMIFS('0524 4度C'!$AC:$AC,'0524 4度C'!$A:$A,"新豐7線",'0524 4度C'!$B:$B,"平均")</f>
        <v>6</v>
      </c>
      <c r="H20" s="96">
        <f>SUMIFS('0524 4度C'!$AC:$AC,'0524 4度C'!$A:$A,"新豐3線",'0524 4度C'!$B:$B,"平均")</f>
        <v>4</v>
      </c>
      <c r="I20" s="96">
        <f>SUMIFS('0524 4度C'!$AC:$AC,'0524 4度C'!$A:$A,"新豐1線",'0524 4度C'!$B:$B,"平均")</f>
        <v>7</v>
      </c>
      <c r="J20" s="97">
        <f>SUMIFS('0524 4度C'!$AC:$AC,'0524 4度C'!$A:$A,"新豐10線",'0524 4度C'!$B:$B,"平均")</f>
        <v>5</v>
      </c>
      <c r="K20" s="98">
        <f>SUMIFS('0524 4度C'!$AC:$AC,'0524 4度C'!$A:$A,"新豐8線",'0524 4度C'!$B:$B,"平均")</f>
        <v>8</v>
      </c>
      <c r="L20" s="96">
        <f>SUMIFS('0524 4度C'!$AC:$AC,'0524 4度C'!$A:$A,"新豐9線",'0524 4度C'!$B:$B,"平均")</f>
        <v>9</v>
      </c>
      <c r="M20" s="97">
        <f>SUMIFS('0524 4度C'!$AC:$AC,'0524 4度C'!$A:$A,"新豐4線",'0524 4度C'!$B:$B,"平均")</f>
        <v>8</v>
      </c>
    </row>
    <row r="21" spans="2:13" ht="17.25" customHeight="1">
      <c r="B21" s="506"/>
      <c r="C21" s="94" t="s">
        <v>2409</v>
      </c>
      <c r="D21" s="95">
        <f>SUMIFS('0524 4度C'!$AD:$AD,'0524 4度C'!$A:$A,"新豐6線",'0524 4度C'!$B:$B,"平均")</f>
        <v>0</v>
      </c>
      <c r="E21" s="96">
        <f>SUMIFS('0524 4度C'!$AD:$AD,'0524 4度C'!$A:$A,"新豐2線",'0524 4度C'!$B:$B,"平均")</f>
        <v>0</v>
      </c>
      <c r="F21" s="96">
        <f>SUMIFS('0524 4度C'!$AD:$AD,'0524 4度C'!$A:$A,"新豐5線",'0524 4度C'!$B:$B,"平均")</f>
        <v>0</v>
      </c>
      <c r="G21" s="96">
        <f>SUMIFS('0524 4度C'!$AD:$AD,'0524 4度C'!$A:$A,"新豐7線",'0524 4度C'!$B:$B,"平均")</f>
        <v>0</v>
      </c>
      <c r="H21" s="96">
        <f>SUMIFS('0524 4度C'!$AD:$AD,'0524 4度C'!$A:$A,"新豐3線",'0524 4度C'!$B:$B,"平均")</f>
        <v>0</v>
      </c>
      <c r="I21" s="96">
        <f>SUMIFS('0524 4度C'!$AD:$AD,'0524 4度C'!$A:$A,"新豐1線",'0524 4度C'!$B:$B,"平均")</f>
        <v>0</v>
      </c>
      <c r="J21" s="97">
        <f>SUMIFS('0524 4度C'!$AD:$AD,'0524 4度C'!$A:$A,"新豐10線",'0524 4度C'!$B:$B,"平均")</f>
        <v>0</v>
      </c>
      <c r="K21" s="98">
        <f>SUMIFS('0524 4度C'!$AD:$AD,'0524 4度C'!$A:$A,"新豐8線",'0524 4度C'!$B:$B,"平均")</f>
        <v>0</v>
      </c>
      <c r="L21" s="96">
        <f>SUMIFS('0524 4度C'!$AD:$AD,'0524 4度C'!$A:$A,"新豐9線",'0524 4度C'!$B:$B,"平均")</f>
        <v>0</v>
      </c>
      <c r="M21" s="97">
        <f>SUMIFS('0524 4度C'!$AD:$AD,'0524 4度C'!$A:$A,"新豐4線",'0524 4度C'!$B:$B,"平均")</f>
        <v>0</v>
      </c>
    </row>
    <row r="22" spans="2:13" ht="17.25" customHeight="1">
      <c r="B22" s="507" t="s">
        <v>2410</v>
      </c>
      <c r="C22" s="508"/>
      <c r="D22" s="99">
        <f>SUMIFS('0524 4度C'!$I:$I,'0524 4度C'!$A:$A,"新豐6線",'0524 4度C'!$B:$B,"平均")</f>
        <v>15.666666666666666</v>
      </c>
      <c r="E22" s="100">
        <f>SUMIFS('0524 4度C'!$I:$I,'0524 4度C'!$A:$A,"新豐2線",'0524 4度C'!$B:$B,"平均")</f>
        <v>17</v>
      </c>
      <c r="F22" s="100">
        <f>SUMIFS('0524 4度C'!$I:$I,'0524 4度C'!$A:$A,"新豐5線",'0524 4度C'!$B:$B,"平均")</f>
        <v>16.8</v>
      </c>
      <c r="G22" s="100">
        <f>SUMIFS('0524 4度C'!$I:$I,'0524 4度C'!$A:$A,"新豐7線",'0524 4度C'!$B:$B,"平均")</f>
        <v>15.833333333333334</v>
      </c>
      <c r="H22" s="100">
        <f>SUMIFS('0524 4度C'!$I:$I,'0524 4度C'!$A:$A,"新豐3線",'0524 4度C'!$B:$B,"平均")</f>
        <v>10.75</v>
      </c>
      <c r="I22" s="100">
        <f>SUMIFS('0524 4度C'!$I:$I,'0524 4度C'!$A:$A,"新豐1線",'0524 4度C'!$B:$B,"平均")</f>
        <v>19.285714285714285</v>
      </c>
      <c r="J22" s="101">
        <f>SUMIFS('0524 4度C'!$I:$I,'0524 4度C'!$A:$A,"新豐10線",'0524 4度C'!$B:$B,"平均")</f>
        <v>9.4</v>
      </c>
      <c r="K22" s="99">
        <f>SUMIFS('0524 4度C'!$I:$I,'0524 4度C'!$A:$A,"新豐8線",'0524 4度C'!$B:$B,"平均")</f>
        <v>17.5</v>
      </c>
      <c r="L22" s="100">
        <f>SUMIFS('0524 4度C'!$I:$I,'0524 4度C'!$A:$A,"新豐9線",'0524 4度C'!$B:$B,"平均")</f>
        <v>17.111111111111111</v>
      </c>
      <c r="M22" s="101">
        <f>SUMIFS('0524 4度C'!$I:$I,'0524 4度C'!$A:$A,"新豐4線",'0524 4度C'!$B:$B,"平均")</f>
        <v>16</v>
      </c>
    </row>
    <row r="23" spans="2:13" ht="17.25" customHeight="1">
      <c r="B23" s="507" t="s">
        <v>2411</v>
      </c>
      <c r="C23" s="508"/>
      <c r="D23" s="102" t="s">
        <v>177</v>
      </c>
      <c r="E23" s="103" t="s">
        <v>178</v>
      </c>
      <c r="F23" s="103" t="s">
        <v>2412</v>
      </c>
      <c r="G23" s="103" t="s">
        <v>2412</v>
      </c>
      <c r="H23" s="103" t="s">
        <v>180</v>
      </c>
      <c r="I23" s="103" t="s">
        <v>177</v>
      </c>
      <c r="J23" s="104" t="s">
        <v>180</v>
      </c>
      <c r="K23" s="102" t="s">
        <v>2413</v>
      </c>
      <c r="L23" s="103" t="s">
        <v>2413</v>
      </c>
      <c r="M23" s="104" t="s">
        <v>2413</v>
      </c>
    </row>
    <row r="24" spans="2:13" ht="17.25" customHeight="1">
      <c r="B24" s="507" t="s">
        <v>2414</v>
      </c>
      <c r="C24" s="508"/>
      <c r="D24" s="102"/>
      <c r="E24" s="103"/>
      <c r="F24" s="103" t="s">
        <v>2415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2416</v>
      </c>
      <c r="C25" s="510"/>
      <c r="D25" s="105"/>
      <c r="E25" s="106" t="s">
        <v>2417</v>
      </c>
      <c r="F25" s="503" t="s">
        <v>2418</v>
      </c>
      <c r="G25" s="504"/>
      <c r="H25" s="106" t="s">
        <v>2419</v>
      </c>
      <c r="I25" s="106" t="s">
        <v>2420</v>
      </c>
      <c r="J25" s="107" t="s">
        <v>2419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38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5"/>
  <sheetViews>
    <sheetView zoomScale="80" zoomScaleNormal="80" workbookViewId="0">
      <pane ySplit="4" topLeftCell="A5" activePane="bottomLeft" state="frozen"/>
      <selection pane="bottomLeft" activeCell="F16" sqref="F1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2421</v>
      </c>
      <c r="B1" s="1"/>
      <c r="C1" s="2" t="s">
        <v>1</v>
      </c>
      <c r="D1" s="3">
        <f>SUM(F5:F74)</f>
        <v>191093</v>
      </c>
      <c r="E1" s="392" t="s">
        <v>2422</v>
      </c>
      <c r="F1" s="1">
        <f>SUM(G5:G74)</f>
        <v>6401946.2199999997</v>
      </c>
      <c r="G1" s="1" t="s">
        <v>3</v>
      </c>
      <c r="H1" s="5">
        <f>L8+L14+L51+L59+L20+L65+L36+L46+L27+L74</f>
        <v>155.34682539682541</v>
      </c>
      <c r="I1" s="617" t="s">
        <v>2423</v>
      </c>
      <c r="J1" s="617"/>
      <c r="K1" s="617"/>
      <c r="L1" s="617" t="s">
        <v>2424</v>
      </c>
      <c r="M1" s="617"/>
      <c r="N1" s="617"/>
      <c r="O1" s="617" t="s">
        <v>6</v>
      </c>
      <c r="P1" s="617"/>
      <c r="Q1" s="617"/>
      <c r="R1" s="617"/>
      <c r="S1" s="617" t="s">
        <v>2425</v>
      </c>
      <c r="T1" s="617"/>
      <c r="U1" s="617"/>
      <c r="V1" s="617"/>
      <c r="W1" s="617"/>
      <c r="X1" s="617"/>
      <c r="Y1" s="6" t="s">
        <v>8</v>
      </c>
      <c r="Z1" s="7" t="s">
        <v>9</v>
      </c>
      <c r="AA1" s="618" t="s">
        <v>2426</v>
      </c>
      <c r="AB1" s="618"/>
      <c r="AC1" s="121" t="s">
        <v>2427</v>
      </c>
      <c r="AD1" s="7" t="s">
        <v>2428</v>
      </c>
      <c r="AE1" s="617" t="s">
        <v>12</v>
      </c>
      <c r="AF1" s="619"/>
      <c r="AG1" s="619"/>
    </row>
    <row r="2" spans="1:33" ht="26.25" customHeight="1">
      <c r="A2" s="37">
        <v>46166</v>
      </c>
      <c r="B2" s="38" t="s">
        <v>353</v>
      </c>
      <c r="C2" s="2" t="s">
        <v>2399</v>
      </c>
      <c r="D2" s="10">
        <f>AVERAGE(N8,N14,N51,N59,N20,N65,N27,N36,N46,N74)</f>
        <v>147.59878074533151</v>
      </c>
      <c r="E2" s="11" t="s">
        <v>14</v>
      </c>
      <c r="F2" s="12">
        <f>F1/D1</f>
        <v>33.501730675639607</v>
      </c>
      <c r="G2" s="1" t="s">
        <v>2429</v>
      </c>
      <c r="H2" s="401">
        <f>COUNT(H5:H74)</f>
        <v>13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SUM(Y8+Y14+Y20+Y27+Y36+Y46+Y51+Y59+Y65+Y74)</f>
        <v>0</v>
      </c>
      <c r="Z2" s="14">
        <f>SUM(Z8+Z14+Z20+Z27+Z36+Z46+Z51+Z59+Z65+Z74)</f>
        <v>0</v>
      </c>
      <c r="AA2" s="618"/>
      <c r="AB2" s="618"/>
      <c r="AC2" s="122">
        <v>60</v>
      </c>
      <c r="AD2" s="14">
        <f>SUM(AD8+AD14+AD20+AD27+AD36+AD46+AD51+AD59+AD65+AD74)</f>
        <v>0</v>
      </c>
      <c r="AE2" s="619"/>
      <c r="AF2" s="619"/>
      <c r="AG2" s="619"/>
    </row>
    <row r="3" spans="1:33" ht="40.5" customHeight="1">
      <c r="A3" s="575" t="s">
        <v>16</v>
      </c>
      <c r="B3" s="575" t="s">
        <v>2430</v>
      </c>
      <c r="C3" s="575" t="s">
        <v>2431</v>
      </c>
      <c r="D3" s="575"/>
      <c r="E3" s="615" t="s">
        <v>2432</v>
      </c>
      <c r="F3" s="575" t="s">
        <v>20</v>
      </c>
      <c r="G3" s="615" t="s">
        <v>21</v>
      </c>
      <c r="H3" s="608" t="s">
        <v>2433</v>
      </c>
      <c r="I3" s="606" t="s">
        <v>2434</v>
      </c>
      <c r="J3" s="603" t="s">
        <v>24</v>
      </c>
      <c r="K3" s="613" t="s">
        <v>13</v>
      </c>
      <c r="L3" s="606" t="s">
        <v>2434</v>
      </c>
      <c r="M3" s="603" t="s">
        <v>24</v>
      </c>
      <c r="N3" s="613" t="s">
        <v>13</v>
      </c>
      <c r="O3" s="606" t="s">
        <v>2434</v>
      </c>
      <c r="P3" s="613" t="s">
        <v>13</v>
      </c>
      <c r="Q3" s="604" t="s">
        <v>35</v>
      </c>
      <c r="R3" s="582" t="s">
        <v>2435</v>
      </c>
      <c r="S3" s="614" t="s">
        <v>28</v>
      </c>
      <c r="T3" s="614"/>
      <c r="U3" s="608" t="s">
        <v>29</v>
      </c>
      <c r="V3" s="608" t="s">
        <v>2436</v>
      </c>
      <c r="W3" s="575" t="s">
        <v>2437</v>
      </c>
      <c r="X3" s="575"/>
      <c r="Y3" s="609" t="s">
        <v>2438</v>
      </c>
      <c r="Z3" s="572"/>
      <c r="AA3" s="610" t="s">
        <v>2439</v>
      </c>
      <c r="AB3" s="611"/>
      <c r="AC3" s="609" t="s">
        <v>2440</v>
      </c>
      <c r="AD3" s="572"/>
      <c r="AE3" s="603" t="s">
        <v>2441</v>
      </c>
      <c r="AF3" s="604" t="s">
        <v>2442</v>
      </c>
      <c r="AG3" s="582" t="s">
        <v>2443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400" t="s">
        <v>36</v>
      </c>
      <c r="T4" s="400" t="s">
        <v>37</v>
      </c>
      <c r="U4" s="608"/>
      <c r="V4" s="608"/>
      <c r="W4" s="392" t="s">
        <v>2444</v>
      </c>
      <c r="X4" s="392" t="s">
        <v>2445</v>
      </c>
      <c r="Y4" s="390" t="s">
        <v>2446</v>
      </c>
      <c r="Z4" s="390" t="s">
        <v>2447</v>
      </c>
      <c r="AA4" s="612"/>
      <c r="AB4" s="611"/>
      <c r="AC4" s="390" t="s">
        <v>2448</v>
      </c>
      <c r="AD4" s="390" t="s">
        <v>43</v>
      </c>
      <c r="AE4" s="603"/>
      <c r="AF4" s="604"/>
      <c r="AG4" s="582"/>
    </row>
    <row r="5" spans="1:33">
      <c r="A5" s="605" t="s">
        <v>2449</v>
      </c>
      <c r="B5" s="39" t="s">
        <v>74</v>
      </c>
      <c r="C5" s="607" t="s">
        <v>75</v>
      </c>
      <c r="D5" s="607"/>
      <c r="E5" s="39">
        <v>50.67</v>
      </c>
      <c r="F5" s="400">
        <v>1588</v>
      </c>
      <c r="G5" s="392">
        <f t="shared" ref="G5:G7" si="0">E5*F5</f>
        <v>80463.960000000006</v>
      </c>
      <c r="H5" s="48" t="s">
        <v>126</v>
      </c>
      <c r="I5" s="398">
        <v>17</v>
      </c>
      <c r="J5" s="43">
        <v>2000</v>
      </c>
      <c r="K5" s="18">
        <f t="shared" ref="K5:K68" si="1">J5/I5</f>
        <v>117.64705882352941</v>
      </c>
      <c r="L5" s="398">
        <v>17</v>
      </c>
      <c r="M5" s="19">
        <f t="shared" ref="M5:M7" si="2">F5/V5*60</f>
        <v>1905.6000000000006</v>
      </c>
      <c r="N5" s="18">
        <f t="shared" ref="N5:N68" si="3">M5/L5</f>
        <v>112.09411764705885</v>
      </c>
      <c r="O5" s="20">
        <f t="shared" ref="O5:O68" si="4">L5-I5</f>
        <v>0</v>
      </c>
      <c r="P5" s="21">
        <f t="shared" ref="P5:P68" si="5">N5-K5</f>
        <v>-5.5529411764705543</v>
      </c>
      <c r="Q5" s="391">
        <f t="shared" ref="Q5:Q68" si="6">N5/K5</f>
        <v>0.95280000000000031</v>
      </c>
      <c r="R5" s="573">
        <f>Q8</f>
        <v>0.95619359359359357</v>
      </c>
      <c r="S5" s="49">
        <v>0.70833333333333337</v>
      </c>
      <c r="T5" s="49">
        <v>0.74305555555555558</v>
      </c>
      <c r="U5" s="392"/>
      <c r="V5" s="399">
        <f t="shared" ref="V5:V7" si="7">(T5-S5)*24*60</f>
        <v>49.999999999999986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58" si="8">M5-J5</f>
        <v>-94.399999999999409</v>
      </c>
      <c r="AF5" s="391">
        <f t="shared" ref="AF5:AF68" si="9">M5/J5</f>
        <v>0.95280000000000031</v>
      </c>
      <c r="AG5" s="573">
        <f>AF8</f>
        <v>0.95619359359359357</v>
      </c>
    </row>
    <row r="6" spans="1:33">
      <c r="A6" s="606" t="s">
        <v>44</v>
      </c>
      <c r="B6" s="39" t="s">
        <v>74</v>
      </c>
      <c r="C6" s="607" t="s">
        <v>77</v>
      </c>
      <c r="D6" s="607"/>
      <c r="E6" s="39">
        <v>50.67</v>
      </c>
      <c r="F6" s="400">
        <v>1735</v>
      </c>
      <c r="G6" s="392">
        <f t="shared" si="0"/>
        <v>87912.45</v>
      </c>
      <c r="H6" s="48" t="s">
        <v>126</v>
      </c>
      <c r="I6" s="398">
        <v>15</v>
      </c>
      <c r="J6" s="43">
        <v>2000</v>
      </c>
      <c r="K6" s="18">
        <f t="shared" si="1"/>
        <v>133.33333333333334</v>
      </c>
      <c r="L6" s="398">
        <v>15</v>
      </c>
      <c r="M6" s="19">
        <f t="shared" si="2"/>
        <v>1927.7777777777787</v>
      </c>
      <c r="N6" s="18">
        <f t="shared" si="3"/>
        <v>128.51851851851859</v>
      </c>
      <c r="O6" s="20">
        <f t="shared" si="4"/>
        <v>0</v>
      </c>
      <c r="P6" s="21">
        <f t="shared" si="5"/>
        <v>-4.8148148148147527</v>
      </c>
      <c r="Q6" s="391">
        <f t="shared" si="6"/>
        <v>0.96388888888888935</v>
      </c>
      <c r="R6" s="573"/>
      <c r="S6" s="49">
        <v>0.74652777777777779</v>
      </c>
      <c r="T6" s="49">
        <v>0.78402777777777777</v>
      </c>
      <c r="U6" s="392">
        <f t="shared" ref="U6:U7" si="10">IF(S6=TIME(17,0,0),"",(S6-T5)*24*60)</f>
        <v>4.9999999999999822</v>
      </c>
      <c r="V6" s="399">
        <f t="shared" si="7"/>
        <v>53.999999999999972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-72.222222222221262</v>
      </c>
      <c r="AF6" s="391">
        <f t="shared" si="9"/>
        <v>0.96388888888888935</v>
      </c>
      <c r="AG6" s="573"/>
    </row>
    <row r="7" spans="1:33">
      <c r="A7" s="606" t="s">
        <v>2450</v>
      </c>
      <c r="B7" s="39" t="s">
        <v>74</v>
      </c>
      <c r="C7" s="598" t="s">
        <v>86</v>
      </c>
      <c r="D7" s="599"/>
      <c r="E7" s="39">
        <v>50.92</v>
      </c>
      <c r="F7" s="400">
        <v>2348</v>
      </c>
      <c r="G7" s="392">
        <f t="shared" si="0"/>
        <v>119560.16</v>
      </c>
      <c r="H7" s="48" t="s">
        <v>126</v>
      </c>
      <c r="I7" s="398">
        <v>15</v>
      </c>
      <c r="J7" s="43">
        <v>2000</v>
      </c>
      <c r="K7" s="18">
        <f t="shared" si="1"/>
        <v>133.33333333333334</v>
      </c>
      <c r="L7" s="398">
        <v>15</v>
      </c>
      <c r="M7" s="19">
        <f t="shared" si="2"/>
        <v>1903.7837837837824</v>
      </c>
      <c r="N7" s="18">
        <f t="shared" si="3"/>
        <v>126.91891891891882</v>
      </c>
      <c r="O7" s="20">
        <f t="shared" si="4"/>
        <v>0</v>
      </c>
      <c r="P7" s="21">
        <f t="shared" si="5"/>
        <v>-6.414414414414523</v>
      </c>
      <c r="Q7" s="391">
        <f t="shared" si="6"/>
        <v>0.95189189189189105</v>
      </c>
      <c r="R7" s="573"/>
      <c r="S7" s="49">
        <v>0.7895833333333333</v>
      </c>
      <c r="T7" s="49">
        <v>0.84097222222222223</v>
      </c>
      <c r="U7" s="392">
        <f t="shared" si="10"/>
        <v>7.9999999999999716</v>
      </c>
      <c r="V7" s="399">
        <f t="shared" si="7"/>
        <v>74.000000000000057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-96.216216216217617</v>
      </c>
      <c r="AF7" s="391">
        <f t="shared" si="9"/>
        <v>0.95189189189189116</v>
      </c>
      <c r="AG7" s="573"/>
    </row>
    <row r="8" spans="1:33">
      <c r="A8" s="606" t="s">
        <v>2450</v>
      </c>
      <c r="B8" s="39" t="s">
        <v>2451</v>
      </c>
      <c r="C8" s="576"/>
      <c r="D8" s="576"/>
      <c r="E8" s="393"/>
      <c r="F8" s="42"/>
      <c r="G8" s="18"/>
      <c r="H8" s="400"/>
      <c r="I8" s="32">
        <v>15.666666666666666</v>
      </c>
      <c r="J8" s="43">
        <v>2000</v>
      </c>
      <c r="K8" s="18">
        <f t="shared" si="1"/>
        <v>127.65957446808511</v>
      </c>
      <c r="L8" s="32">
        <v>15.666666666666666</v>
      </c>
      <c r="M8" s="19">
        <f>AVERAGE(M5:M7)</f>
        <v>1912.3871871871872</v>
      </c>
      <c r="N8" s="18">
        <f t="shared" si="3"/>
        <v>122.06726726726727</v>
      </c>
      <c r="O8" s="20">
        <f t="shared" si="4"/>
        <v>0</v>
      </c>
      <c r="P8" s="21">
        <f t="shared" si="5"/>
        <v>-5.5923072008178423</v>
      </c>
      <c r="Q8" s="391">
        <f t="shared" si="6"/>
        <v>0.95619359359359357</v>
      </c>
      <c r="R8" s="573"/>
      <c r="S8" s="49"/>
      <c r="T8" s="49"/>
      <c r="U8" s="392"/>
      <c r="V8" s="399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-87.612812812812763</v>
      </c>
      <c r="AF8" s="391">
        <f t="shared" si="9"/>
        <v>0.95619359359359357</v>
      </c>
      <c r="AG8" s="573"/>
    </row>
    <row r="9" spans="1:33" ht="15.75" customHeight="1">
      <c r="A9" s="602" t="s">
        <v>47</v>
      </c>
      <c r="B9" s="39" t="s">
        <v>79</v>
      </c>
      <c r="C9" s="598" t="s">
        <v>80</v>
      </c>
      <c r="D9" s="599"/>
      <c r="E9" s="39">
        <v>39.619999999999997</v>
      </c>
      <c r="F9" s="400">
        <v>5014</v>
      </c>
      <c r="G9" s="392">
        <f t="shared" ref="G9:G13" si="11">E9*F9</f>
        <v>198654.68</v>
      </c>
      <c r="H9" s="48" t="s">
        <v>126</v>
      </c>
      <c r="I9" s="398">
        <v>19</v>
      </c>
      <c r="J9" s="43">
        <v>1500</v>
      </c>
      <c r="K9" s="18">
        <f t="shared" si="1"/>
        <v>78.94736842105263</v>
      </c>
      <c r="L9" s="398">
        <v>19</v>
      </c>
      <c r="M9" s="19">
        <f t="shared" ref="M9:M13" si="12">F9/V9*60</f>
        <v>1432.5714285714282</v>
      </c>
      <c r="N9" s="18">
        <f t="shared" si="3"/>
        <v>75.398496240601489</v>
      </c>
      <c r="O9" s="20">
        <f t="shared" si="4"/>
        <v>0</v>
      </c>
      <c r="P9" s="21">
        <f t="shared" si="5"/>
        <v>-3.5488721804511414</v>
      </c>
      <c r="Q9" s="391">
        <f t="shared" si="6"/>
        <v>0.95504761904761892</v>
      </c>
      <c r="R9" s="573">
        <f>Q14</f>
        <v>0.95584736916829927</v>
      </c>
      <c r="S9" s="49">
        <v>8.3333333333333329E-2</v>
      </c>
      <c r="T9" s="49">
        <v>0.22916666666666669</v>
      </c>
      <c r="U9" s="392"/>
      <c r="V9" s="399">
        <f t="shared" ref="V9:V13" si="13">(T9-S9)*24*60</f>
        <v>210.00000000000006</v>
      </c>
      <c r="W9" s="25">
        <f>T9</f>
        <v>0.22916666666666669</v>
      </c>
      <c r="X9" s="25">
        <f>S10</f>
        <v>0.24861111111111112</v>
      </c>
      <c r="Y9" s="25"/>
      <c r="Z9" s="25"/>
      <c r="AA9" s="575"/>
      <c r="AB9" s="575"/>
      <c r="AC9" s="50">
        <v>5</v>
      </c>
      <c r="AD9" s="27"/>
      <c r="AE9" s="20">
        <f t="shared" si="8"/>
        <v>-67.428571428571786</v>
      </c>
      <c r="AF9" s="391">
        <f t="shared" si="9"/>
        <v>0.95504761904761881</v>
      </c>
      <c r="AG9" s="573">
        <f>AF14</f>
        <v>0.95584736916829915</v>
      </c>
    </row>
    <row r="10" spans="1:33" ht="15.75" customHeight="1">
      <c r="A10" s="602" t="s">
        <v>47</v>
      </c>
      <c r="B10" s="39" t="s">
        <v>79</v>
      </c>
      <c r="C10" s="598" t="s">
        <v>81</v>
      </c>
      <c r="D10" s="599"/>
      <c r="E10" s="39">
        <v>39.799999999999997</v>
      </c>
      <c r="F10" s="400">
        <v>4100</v>
      </c>
      <c r="G10" s="392">
        <f t="shared" si="11"/>
        <v>163180</v>
      </c>
      <c r="H10" s="48">
        <v>2</v>
      </c>
      <c r="I10" s="398">
        <v>17</v>
      </c>
      <c r="J10" s="43">
        <v>1500</v>
      </c>
      <c r="K10" s="18">
        <f t="shared" si="1"/>
        <v>88.235294117647058</v>
      </c>
      <c r="L10" s="398">
        <v>17</v>
      </c>
      <c r="M10" s="19">
        <f t="shared" si="12"/>
        <v>1430.2325581395346</v>
      </c>
      <c r="N10" s="18">
        <f t="shared" si="3"/>
        <v>84.131326949384388</v>
      </c>
      <c r="O10" s="20">
        <f t="shared" si="4"/>
        <v>0</v>
      </c>
      <c r="P10" s="21">
        <f t="shared" si="5"/>
        <v>-4.1039671682626704</v>
      </c>
      <c r="Q10" s="391">
        <f t="shared" si="6"/>
        <v>0.95348837209302306</v>
      </c>
      <c r="R10" s="573"/>
      <c r="S10" s="49">
        <v>0.24861111111111112</v>
      </c>
      <c r="T10" s="49">
        <v>0.36805555555555558</v>
      </c>
      <c r="U10" s="392">
        <f t="shared" ref="U10:U13" si="14">IF(S10=TIME(17,0,0),"",(S10-T9)*24*60)</f>
        <v>27.999999999999979</v>
      </c>
      <c r="V10" s="399">
        <f t="shared" si="13"/>
        <v>172.00000000000003</v>
      </c>
      <c r="W10" s="25"/>
      <c r="X10" s="25"/>
      <c r="Y10" s="25"/>
      <c r="Z10" s="25"/>
      <c r="AA10" s="575"/>
      <c r="AB10" s="575"/>
      <c r="AC10" s="50"/>
      <c r="AD10" s="27"/>
      <c r="AE10" s="20">
        <f t="shared" si="8"/>
        <v>-69.767441860465397</v>
      </c>
      <c r="AF10" s="391">
        <f t="shared" si="9"/>
        <v>0.95348837209302306</v>
      </c>
      <c r="AG10" s="573"/>
    </row>
    <row r="11" spans="1:33" ht="15.75" customHeight="1">
      <c r="A11" s="602" t="s">
        <v>47</v>
      </c>
      <c r="B11" s="39" t="s">
        <v>79</v>
      </c>
      <c r="C11" s="598" t="s">
        <v>1953</v>
      </c>
      <c r="D11" s="599"/>
      <c r="E11" s="39">
        <v>39.46</v>
      </c>
      <c r="F11" s="400">
        <v>4300</v>
      </c>
      <c r="G11" s="392">
        <f t="shared" si="11"/>
        <v>169678</v>
      </c>
      <c r="H11" s="48">
        <v>2</v>
      </c>
      <c r="I11" s="398">
        <v>16</v>
      </c>
      <c r="J11" s="43">
        <v>1500</v>
      </c>
      <c r="K11" s="18">
        <f t="shared" si="1"/>
        <v>93.75</v>
      </c>
      <c r="L11" s="398">
        <v>16</v>
      </c>
      <c r="M11" s="19">
        <f t="shared" si="12"/>
        <v>1433.3333333333333</v>
      </c>
      <c r="N11" s="18">
        <f t="shared" si="3"/>
        <v>89.583333333333329</v>
      </c>
      <c r="O11" s="20">
        <f t="shared" si="4"/>
        <v>0</v>
      </c>
      <c r="P11" s="21">
        <f t="shared" si="5"/>
        <v>-4.1666666666666714</v>
      </c>
      <c r="Q11" s="391">
        <f t="shared" si="6"/>
        <v>0.95555555555555549</v>
      </c>
      <c r="R11" s="573"/>
      <c r="S11" s="49">
        <v>0.37291666666666667</v>
      </c>
      <c r="T11" s="49">
        <v>0.49791666666666667</v>
      </c>
      <c r="U11" s="392">
        <f t="shared" si="14"/>
        <v>6.9999999999999751</v>
      </c>
      <c r="V11" s="399">
        <f t="shared" si="13"/>
        <v>180</v>
      </c>
      <c r="W11" s="25">
        <f>T11</f>
        <v>0.49791666666666667</v>
      </c>
      <c r="X11" s="25">
        <f>S12</f>
        <v>0.5395833333333333</v>
      </c>
      <c r="Y11" s="25"/>
      <c r="Z11" s="25"/>
      <c r="AA11" s="575"/>
      <c r="AB11" s="575"/>
      <c r="AC11" s="50"/>
      <c r="AD11" s="27"/>
      <c r="AE11" s="20">
        <f t="shared" si="8"/>
        <v>-66.666666666666742</v>
      </c>
      <c r="AF11" s="391">
        <f t="shared" si="9"/>
        <v>0.95555555555555549</v>
      </c>
      <c r="AG11" s="573"/>
    </row>
    <row r="12" spans="1:33" ht="15.75" customHeight="1">
      <c r="A12" s="602" t="s">
        <v>47</v>
      </c>
      <c r="B12" s="39" t="s">
        <v>79</v>
      </c>
      <c r="C12" s="598" t="s">
        <v>81</v>
      </c>
      <c r="D12" s="599"/>
      <c r="E12" s="39">
        <v>39.799999999999997</v>
      </c>
      <c r="F12" s="400">
        <v>3110</v>
      </c>
      <c r="G12" s="392">
        <f t="shared" si="11"/>
        <v>123777.99999999999</v>
      </c>
      <c r="H12" s="48" t="s">
        <v>126</v>
      </c>
      <c r="I12" s="398">
        <v>17</v>
      </c>
      <c r="J12" s="43">
        <v>1500</v>
      </c>
      <c r="K12" s="18">
        <f t="shared" si="1"/>
        <v>88.235294117647058</v>
      </c>
      <c r="L12" s="398">
        <v>17</v>
      </c>
      <c r="M12" s="19">
        <f t="shared" si="12"/>
        <v>1435.384615384615</v>
      </c>
      <c r="N12" s="18">
        <f t="shared" si="3"/>
        <v>84.434389140271477</v>
      </c>
      <c r="O12" s="20">
        <f t="shared" si="4"/>
        <v>0</v>
      </c>
      <c r="P12" s="21">
        <f t="shared" si="5"/>
        <v>-3.8009049773755805</v>
      </c>
      <c r="Q12" s="391">
        <f t="shared" si="6"/>
        <v>0.95692307692307677</v>
      </c>
      <c r="R12" s="573"/>
      <c r="S12" s="49">
        <v>0.5395833333333333</v>
      </c>
      <c r="T12" s="49">
        <v>0.62986111111111109</v>
      </c>
      <c r="U12" s="392">
        <f t="shared" si="14"/>
        <v>59.999999999999943</v>
      </c>
      <c r="V12" s="399">
        <f t="shared" si="13"/>
        <v>130.00000000000003</v>
      </c>
      <c r="W12" s="25"/>
      <c r="X12" s="25"/>
      <c r="Y12" s="25"/>
      <c r="Z12" s="25"/>
      <c r="AA12" s="568"/>
      <c r="AB12" s="569"/>
      <c r="AC12" s="50"/>
      <c r="AD12" s="27"/>
      <c r="AE12" s="20">
        <f t="shared" si="8"/>
        <v>-64.615384615384983</v>
      </c>
      <c r="AF12" s="391">
        <f t="shared" si="9"/>
        <v>0.95692307692307665</v>
      </c>
      <c r="AG12" s="573"/>
    </row>
    <row r="13" spans="1:33" ht="15.75" customHeight="1">
      <c r="A13" s="602" t="s">
        <v>2452</v>
      </c>
      <c r="B13" s="39" t="s">
        <v>79</v>
      </c>
      <c r="C13" s="598" t="s">
        <v>1953</v>
      </c>
      <c r="D13" s="599"/>
      <c r="E13" s="39">
        <v>39.46</v>
      </c>
      <c r="F13" s="400">
        <v>3234</v>
      </c>
      <c r="G13" s="392">
        <f t="shared" si="11"/>
        <v>127613.64</v>
      </c>
      <c r="H13" s="48" t="s">
        <v>126</v>
      </c>
      <c r="I13" s="398">
        <v>16</v>
      </c>
      <c r="J13" s="43">
        <v>1500</v>
      </c>
      <c r="K13" s="18">
        <f t="shared" si="1"/>
        <v>93.75</v>
      </c>
      <c r="L13" s="398">
        <v>16</v>
      </c>
      <c r="M13" s="19">
        <f t="shared" si="12"/>
        <v>1437.3333333333333</v>
      </c>
      <c r="N13" s="18">
        <f t="shared" si="3"/>
        <v>89.833333333333329</v>
      </c>
      <c r="O13" s="20">
        <f t="shared" si="4"/>
        <v>0</v>
      </c>
      <c r="P13" s="21">
        <f t="shared" si="5"/>
        <v>-3.9166666666666714</v>
      </c>
      <c r="Q13" s="391">
        <f t="shared" si="6"/>
        <v>0.9582222222222222</v>
      </c>
      <c r="R13" s="573"/>
      <c r="S13" s="49">
        <v>0.6333333333333333</v>
      </c>
      <c r="T13" s="49">
        <v>0.7270833333333333</v>
      </c>
      <c r="U13" s="392">
        <f t="shared" si="14"/>
        <v>4.9999999999999822</v>
      </c>
      <c r="V13" s="399">
        <f t="shared" si="13"/>
        <v>135</v>
      </c>
      <c r="W13" s="25"/>
      <c r="X13" s="25"/>
      <c r="Y13" s="28"/>
      <c r="Z13" s="28"/>
      <c r="AA13" s="568"/>
      <c r="AB13" s="569"/>
      <c r="AC13" s="50"/>
      <c r="AD13" s="27"/>
      <c r="AE13" s="20">
        <f t="shared" si="8"/>
        <v>-62.666666666666742</v>
      </c>
      <c r="AF13" s="391">
        <f t="shared" si="9"/>
        <v>0.9582222222222222</v>
      </c>
      <c r="AG13" s="573"/>
    </row>
    <row r="14" spans="1:33" ht="16.5" customHeight="1">
      <c r="A14" s="602" t="s">
        <v>2452</v>
      </c>
      <c r="B14" s="39" t="s">
        <v>2451</v>
      </c>
      <c r="C14" s="576"/>
      <c r="D14" s="576"/>
      <c r="E14" s="393"/>
      <c r="F14" s="43"/>
      <c r="G14" s="19"/>
      <c r="H14" s="400"/>
      <c r="I14" s="32">
        <v>17</v>
      </c>
      <c r="J14" s="43">
        <v>1500</v>
      </c>
      <c r="K14" s="18">
        <f t="shared" si="1"/>
        <v>88.235294117647058</v>
      </c>
      <c r="L14" s="32">
        <v>17</v>
      </c>
      <c r="M14" s="19">
        <f>AVERAGE(M9:M13)</f>
        <v>1433.7710537524488</v>
      </c>
      <c r="N14" s="18">
        <f t="shared" si="3"/>
        <v>84.339473750144052</v>
      </c>
      <c r="O14" s="20">
        <f t="shared" si="4"/>
        <v>0</v>
      </c>
      <c r="P14" s="21">
        <f t="shared" si="5"/>
        <v>-3.8958203675030063</v>
      </c>
      <c r="Q14" s="391">
        <f t="shared" si="6"/>
        <v>0.95584736916829927</v>
      </c>
      <c r="R14" s="573"/>
      <c r="S14" s="49"/>
      <c r="T14" s="49"/>
      <c r="U14" s="18"/>
      <c r="V14" s="399"/>
      <c r="W14" s="18"/>
      <c r="X14" s="18"/>
      <c r="Y14" s="33">
        <f>SUM(Y9:Y13)</f>
        <v>0</v>
      </c>
      <c r="Z14" s="33">
        <f>SUM(Z9:Z13)</f>
        <v>0</v>
      </c>
      <c r="AA14" s="572"/>
      <c r="AB14" s="572"/>
      <c r="AC14" s="33">
        <v>5</v>
      </c>
      <c r="AD14" s="33">
        <f>SUM(AD9:AD13)</f>
        <v>0</v>
      </c>
      <c r="AE14" s="20">
        <f t="shared" si="8"/>
        <v>-66.228946247551221</v>
      </c>
      <c r="AF14" s="391">
        <f t="shared" si="9"/>
        <v>0.95584736916829915</v>
      </c>
      <c r="AG14" s="573"/>
    </row>
    <row r="15" spans="1:33" ht="16.5" customHeight="1">
      <c r="A15" s="600" t="s">
        <v>2453</v>
      </c>
      <c r="B15" s="400" t="s">
        <v>82</v>
      </c>
      <c r="C15" s="594" t="s">
        <v>83</v>
      </c>
      <c r="D15" s="594"/>
      <c r="E15" s="39">
        <v>41</v>
      </c>
      <c r="F15" s="400">
        <v>1694</v>
      </c>
      <c r="G15" s="392">
        <f t="shared" ref="G15:G19" si="15">E15*F15</f>
        <v>69454</v>
      </c>
      <c r="H15" s="48" t="s">
        <v>126</v>
      </c>
      <c r="I15" s="398">
        <v>26</v>
      </c>
      <c r="J15" s="43">
        <v>1500</v>
      </c>
      <c r="K15" s="18">
        <f t="shared" si="1"/>
        <v>57.692307692307693</v>
      </c>
      <c r="L15" s="398">
        <v>26</v>
      </c>
      <c r="M15" s="19">
        <f t="shared" ref="M15:M19" si="16">F15/V15*60</f>
        <v>1431.5492957746474</v>
      </c>
      <c r="N15" s="18">
        <f t="shared" si="3"/>
        <v>55.059588299024895</v>
      </c>
      <c r="O15" s="20">
        <f t="shared" si="4"/>
        <v>0</v>
      </c>
      <c r="P15" s="21">
        <f t="shared" si="5"/>
        <v>-2.6327193932827981</v>
      </c>
      <c r="Q15" s="391">
        <f t="shared" si="6"/>
        <v>0.95436619718309812</v>
      </c>
      <c r="R15" s="573">
        <f>Q20</f>
        <v>0.95947375364866383</v>
      </c>
      <c r="S15" s="49">
        <v>0.20833333333333334</v>
      </c>
      <c r="T15" s="49">
        <v>0.25763888888888892</v>
      </c>
      <c r="U15" s="392"/>
      <c r="V15" s="399">
        <f t="shared" ref="V15:V19" si="17">(T15-S15)*24*60</f>
        <v>71.000000000000028</v>
      </c>
      <c r="W15" s="30"/>
      <c r="X15" s="30"/>
      <c r="Y15" s="30"/>
      <c r="Z15" s="30"/>
      <c r="AA15" s="575"/>
      <c r="AB15" s="575"/>
      <c r="AC15" s="50">
        <v>5</v>
      </c>
      <c r="AD15" s="27"/>
      <c r="AE15" s="20">
        <f t="shared" si="8"/>
        <v>-68.450704225352638</v>
      </c>
      <c r="AF15" s="391">
        <f t="shared" si="9"/>
        <v>0.95436619718309823</v>
      </c>
      <c r="AG15" s="573">
        <f>AF20</f>
        <v>0.95947375364866372</v>
      </c>
    </row>
    <row r="16" spans="1:33" ht="16.5" customHeight="1">
      <c r="A16" s="601" t="s">
        <v>2453</v>
      </c>
      <c r="B16" s="400" t="s">
        <v>74</v>
      </c>
      <c r="C16" s="594" t="s">
        <v>85</v>
      </c>
      <c r="D16" s="594"/>
      <c r="E16" s="39">
        <v>53.68</v>
      </c>
      <c r="F16" s="400">
        <v>1308</v>
      </c>
      <c r="G16" s="392">
        <f t="shared" si="15"/>
        <v>70213.440000000002</v>
      </c>
      <c r="H16" s="48" t="s">
        <v>126</v>
      </c>
      <c r="I16" s="398">
        <v>16</v>
      </c>
      <c r="J16" s="43">
        <v>1500</v>
      </c>
      <c r="K16" s="18">
        <f t="shared" si="1"/>
        <v>93.75</v>
      </c>
      <c r="L16" s="398">
        <v>16</v>
      </c>
      <c r="M16" s="19">
        <f t="shared" si="16"/>
        <v>1453.3333333333342</v>
      </c>
      <c r="N16" s="18">
        <f t="shared" si="3"/>
        <v>90.833333333333385</v>
      </c>
      <c r="O16" s="20">
        <f t="shared" si="4"/>
        <v>0</v>
      </c>
      <c r="P16" s="21">
        <f t="shared" si="5"/>
        <v>-2.9166666666666146</v>
      </c>
      <c r="Q16" s="391">
        <f t="shared" si="6"/>
        <v>0.96888888888888947</v>
      </c>
      <c r="R16" s="573"/>
      <c r="S16" s="49">
        <v>0.70833333333333337</v>
      </c>
      <c r="T16" s="49">
        <v>0.74583333333333335</v>
      </c>
      <c r="U16" s="392" t="str">
        <f t="shared" ref="U16:U19" si="18">IF(S16=TIME(17,0,0),"",(S16-T15)*24*60)</f>
        <v/>
      </c>
      <c r="V16" s="399">
        <f t="shared" si="17"/>
        <v>53.999999999999972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-46.666666666665833</v>
      </c>
      <c r="AF16" s="391">
        <f t="shared" si="9"/>
        <v>0.96888888888888947</v>
      </c>
      <c r="AG16" s="573"/>
    </row>
    <row r="17" spans="1:33" ht="16.5" customHeight="1">
      <c r="A17" s="601" t="s">
        <v>2453</v>
      </c>
      <c r="B17" s="400" t="s">
        <v>74</v>
      </c>
      <c r="C17" s="594" t="s">
        <v>78</v>
      </c>
      <c r="D17" s="594"/>
      <c r="E17" s="39">
        <v>52.86</v>
      </c>
      <c r="F17" s="400">
        <v>1751</v>
      </c>
      <c r="G17" s="392">
        <f t="shared" si="15"/>
        <v>92557.86</v>
      </c>
      <c r="H17" s="48" t="s">
        <v>126</v>
      </c>
      <c r="I17" s="398">
        <v>16</v>
      </c>
      <c r="J17" s="43">
        <v>2000</v>
      </c>
      <c r="K17" s="18">
        <f t="shared" si="1"/>
        <v>125</v>
      </c>
      <c r="L17" s="398">
        <v>16</v>
      </c>
      <c r="M17" s="19">
        <f t="shared" si="16"/>
        <v>1910.1818181818194</v>
      </c>
      <c r="N17" s="18">
        <f t="shared" si="3"/>
        <v>119.38636363636371</v>
      </c>
      <c r="O17" s="20">
        <f t="shared" si="4"/>
        <v>0</v>
      </c>
      <c r="P17" s="21">
        <f t="shared" si="5"/>
        <v>-5.6136363636362887</v>
      </c>
      <c r="Q17" s="391">
        <f t="shared" si="6"/>
        <v>0.95509090909090966</v>
      </c>
      <c r="R17" s="573"/>
      <c r="S17" s="49">
        <v>0.74930555555555556</v>
      </c>
      <c r="T17" s="49">
        <v>0.78749999999999998</v>
      </c>
      <c r="U17" s="392">
        <f t="shared" si="18"/>
        <v>4.9999999999999822</v>
      </c>
      <c r="V17" s="399">
        <f t="shared" si="17"/>
        <v>54.999999999999964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-89.818181818180619</v>
      </c>
      <c r="AF17" s="391">
        <f t="shared" si="9"/>
        <v>0.95509090909090966</v>
      </c>
      <c r="AG17" s="573"/>
    </row>
    <row r="18" spans="1:33" ht="16.5" customHeight="1">
      <c r="A18" s="601" t="s">
        <v>2453</v>
      </c>
      <c r="B18" s="400" t="s">
        <v>74</v>
      </c>
      <c r="C18" s="594" t="s">
        <v>1826</v>
      </c>
      <c r="D18" s="594"/>
      <c r="E18" s="39">
        <v>51.06</v>
      </c>
      <c r="F18" s="400">
        <v>1800</v>
      </c>
      <c r="G18" s="392">
        <f t="shared" si="15"/>
        <v>91908</v>
      </c>
      <c r="H18" s="48">
        <v>2</v>
      </c>
      <c r="I18" s="398">
        <v>13</v>
      </c>
      <c r="J18" s="43">
        <v>2000</v>
      </c>
      <c r="K18" s="18">
        <f t="shared" si="1"/>
        <v>153.84615384615384</v>
      </c>
      <c r="L18" s="398">
        <v>13</v>
      </c>
      <c r="M18" s="19">
        <f t="shared" si="16"/>
        <v>1928.57142857143</v>
      </c>
      <c r="N18" s="18">
        <f t="shared" si="3"/>
        <v>148.35164835164846</v>
      </c>
      <c r="O18" s="20">
        <f t="shared" si="4"/>
        <v>0</v>
      </c>
      <c r="P18" s="21">
        <f t="shared" si="5"/>
        <v>-5.4945054945053755</v>
      </c>
      <c r="Q18" s="391">
        <f t="shared" si="6"/>
        <v>0.96428571428571508</v>
      </c>
      <c r="R18" s="573"/>
      <c r="S18" s="49">
        <v>0.79166666666666663</v>
      </c>
      <c r="T18" s="49">
        <v>0.83055555555555549</v>
      </c>
      <c r="U18" s="392">
        <f t="shared" si="18"/>
        <v>5.9999999999999787</v>
      </c>
      <c r="V18" s="399">
        <f t="shared" si="17"/>
        <v>55.999999999999957</v>
      </c>
      <c r="W18" s="25">
        <f>T18</f>
        <v>0.83055555555555549</v>
      </c>
      <c r="X18" s="25">
        <f>S19</f>
        <v>0.86874999999999991</v>
      </c>
      <c r="Y18" s="25"/>
      <c r="Z18" s="25"/>
      <c r="AA18" s="575"/>
      <c r="AB18" s="575"/>
      <c r="AC18" s="50"/>
      <c r="AD18" s="27"/>
      <c r="AE18" s="20">
        <f t="shared" si="8"/>
        <v>-71.428571428569967</v>
      </c>
      <c r="AF18" s="391">
        <f t="shared" si="9"/>
        <v>0.96428571428571497</v>
      </c>
      <c r="AG18" s="573"/>
    </row>
    <row r="19" spans="1:33" ht="16.5" customHeight="1">
      <c r="A19" s="601" t="s">
        <v>50</v>
      </c>
      <c r="B19" s="400" t="s">
        <v>74</v>
      </c>
      <c r="C19" s="594" t="s">
        <v>1826</v>
      </c>
      <c r="D19" s="594"/>
      <c r="E19" s="39">
        <v>51.06</v>
      </c>
      <c r="F19" s="400">
        <v>1370</v>
      </c>
      <c r="G19" s="392">
        <f t="shared" si="15"/>
        <v>69952.2</v>
      </c>
      <c r="H19" s="48" t="s">
        <v>126</v>
      </c>
      <c r="I19" s="398">
        <v>13</v>
      </c>
      <c r="J19" s="43">
        <v>2000</v>
      </c>
      <c r="K19" s="18">
        <f t="shared" si="1"/>
        <v>153.84615384615384</v>
      </c>
      <c r="L19" s="398">
        <v>13</v>
      </c>
      <c r="M19" s="19">
        <f t="shared" si="16"/>
        <v>1911.627906976744</v>
      </c>
      <c r="N19" s="18">
        <f t="shared" si="3"/>
        <v>147.04830053667263</v>
      </c>
      <c r="O19" s="20">
        <f t="shared" si="4"/>
        <v>0</v>
      </c>
      <c r="P19" s="21">
        <f t="shared" si="5"/>
        <v>-6.7978533094812121</v>
      </c>
      <c r="Q19" s="391">
        <f t="shared" si="6"/>
        <v>0.95581395348837217</v>
      </c>
      <c r="R19" s="573"/>
      <c r="S19" s="49">
        <v>0.86874999999999991</v>
      </c>
      <c r="T19" s="49">
        <v>0.89861111111111103</v>
      </c>
      <c r="U19" s="392">
        <f t="shared" si="18"/>
        <v>54.999999999999964</v>
      </c>
      <c r="V19" s="399">
        <f t="shared" si="17"/>
        <v>43.000000000000007</v>
      </c>
      <c r="W19" s="25"/>
      <c r="X19" s="25"/>
      <c r="Y19" s="25"/>
      <c r="Z19" s="25"/>
      <c r="AA19" s="575"/>
      <c r="AB19" s="575"/>
      <c r="AC19" s="50"/>
      <c r="AD19" s="27"/>
      <c r="AE19" s="20">
        <f t="shared" si="8"/>
        <v>-88.372093023255957</v>
      </c>
      <c r="AF19" s="391">
        <f t="shared" si="9"/>
        <v>0.95581395348837206</v>
      </c>
      <c r="AG19" s="573"/>
    </row>
    <row r="20" spans="1:33" ht="16.5" customHeight="1">
      <c r="A20" s="601" t="s">
        <v>50</v>
      </c>
      <c r="B20" s="39" t="s">
        <v>46</v>
      </c>
      <c r="C20" s="576"/>
      <c r="D20" s="576"/>
      <c r="E20" s="393"/>
      <c r="F20" s="42"/>
      <c r="G20" s="18"/>
      <c r="H20" s="400"/>
      <c r="I20" s="32">
        <v>16.8</v>
      </c>
      <c r="J20" s="43">
        <v>1800</v>
      </c>
      <c r="K20" s="18">
        <f t="shared" si="1"/>
        <v>107.14285714285714</v>
      </c>
      <c r="L20" s="32">
        <v>16.8</v>
      </c>
      <c r="M20" s="19">
        <f>AVERAGE(M15:M19)</f>
        <v>1727.0527565675948</v>
      </c>
      <c r="N20" s="18">
        <f t="shared" si="3"/>
        <v>102.80075931949969</v>
      </c>
      <c r="O20" s="20">
        <f t="shared" si="4"/>
        <v>0</v>
      </c>
      <c r="P20" s="21">
        <f t="shared" si="5"/>
        <v>-4.3420978233574488</v>
      </c>
      <c r="Q20" s="391">
        <f t="shared" si="6"/>
        <v>0.95947375364866383</v>
      </c>
      <c r="R20" s="573"/>
      <c r="S20" s="49"/>
      <c r="T20" s="49"/>
      <c r="U20" s="392"/>
      <c r="V20" s="399"/>
      <c r="W20" s="18"/>
      <c r="X20" s="18"/>
      <c r="Y20" s="33">
        <f>SUM(Y15:Y19)</f>
        <v>0</v>
      </c>
      <c r="Z20" s="33">
        <f>SUM(Z15:Z19)</f>
        <v>0</v>
      </c>
      <c r="AA20" s="572"/>
      <c r="AB20" s="572"/>
      <c r="AC20" s="33">
        <v>5</v>
      </c>
      <c r="AD20" s="33">
        <f>SUM(AD15:AD19)</f>
        <v>0</v>
      </c>
      <c r="AE20" s="20">
        <f t="shared" si="8"/>
        <v>-72.94724343240523</v>
      </c>
      <c r="AF20" s="391">
        <f t="shared" si="9"/>
        <v>0.95947375364866372</v>
      </c>
      <c r="AG20" s="573"/>
    </row>
    <row r="21" spans="1:33" ht="15.75" customHeight="1">
      <c r="A21" s="596" t="s">
        <v>2454</v>
      </c>
      <c r="B21" s="39" t="s">
        <v>74</v>
      </c>
      <c r="C21" s="594" t="s">
        <v>84</v>
      </c>
      <c r="D21" s="594"/>
      <c r="E21" s="39">
        <v>54.09</v>
      </c>
      <c r="F21" s="400">
        <v>1930</v>
      </c>
      <c r="G21" s="392">
        <f t="shared" ref="G21:G26" si="19">E21*F21</f>
        <v>104393.70000000001</v>
      </c>
      <c r="H21" s="48" t="s">
        <v>126</v>
      </c>
      <c r="I21" s="398">
        <v>17</v>
      </c>
      <c r="J21" s="43">
        <v>1500</v>
      </c>
      <c r="K21" s="18">
        <f t="shared" si="1"/>
        <v>88.235294117647058</v>
      </c>
      <c r="L21" s="398">
        <v>17</v>
      </c>
      <c r="M21" s="19">
        <f t="shared" ref="M21:M26" si="20">F21/V21*60</f>
        <v>1429.62962962963</v>
      </c>
      <c r="N21" s="18">
        <f t="shared" si="3"/>
        <v>84.09586056644882</v>
      </c>
      <c r="O21" s="20">
        <f t="shared" si="4"/>
        <v>0</v>
      </c>
      <c r="P21" s="21">
        <f t="shared" si="5"/>
        <v>-4.1394335511982376</v>
      </c>
      <c r="Q21" s="391">
        <f t="shared" si="6"/>
        <v>0.95308641975308661</v>
      </c>
      <c r="R21" s="573">
        <f>Q27</f>
        <v>0.95695085010604308</v>
      </c>
      <c r="S21" s="49">
        <v>0.20833333333333334</v>
      </c>
      <c r="T21" s="49">
        <v>0.26458333333333334</v>
      </c>
      <c r="U21" s="392"/>
      <c r="V21" s="399">
        <f t="shared" ref="V21:V26" si="21">(T21-S21)*24*60</f>
        <v>80.999999999999986</v>
      </c>
      <c r="W21" s="30"/>
      <c r="X21" s="30"/>
      <c r="Y21" s="30"/>
      <c r="Z21" s="30"/>
      <c r="AA21" s="575"/>
      <c r="AB21" s="575"/>
      <c r="AC21" s="50">
        <v>6</v>
      </c>
      <c r="AD21" s="27"/>
      <c r="AE21" s="20">
        <f t="shared" si="8"/>
        <v>-70.370370370369983</v>
      </c>
      <c r="AF21" s="391">
        <f t="shared" si="9"/>
        <v>0.95308641975308672</v>
      </c>
      <c r="AG21" s="573">
        <f>AF27</f>
        <v>0.95695085010604308</v>
      </c>
    </row>
    <row r="22" spans="1:33" ht="15.75" customHeight="1">
      <c r="A22" s="597" t="s">
        <v>53</v>
      </c>
      <c r="B22" s="39" t="s">
        <v>74</v>
      </c>
      <c r="C22" s="594" t="s">
        <v>89</v>
      </c>
      <c r="D22" s="594"/>
      <c r="E22" s="39">
        <v>50.67</v>
      </c>
      <c r="F22" s="400">
        <v>2223</v>
      </c>
      <c r="G22" s="392">
        <f t="shared" si="19"/>
        <v>112639.41</v>
      </c>
      <c r="H22" s="48" t="s">
        <v>126</v>
      </c>
      <c r="I22" s="398">
        <v>17</v>
      </c>
      <c r="J22" s="43">
        <v>2000</v>
      </c>
      <c r="K22" s="18">
        <f t="shared" si="1"/>
        <v>117.64705882352941</v>
      </c>
      <c r="L22" s="398">
        <v>17</v>
      </c>
      <c r="M22" s="19">
        <f t="shared" si="20"/>
        <v>1905.4285714285718</v>
      </c>
      <c r="N22" s="18">
        <f t="shared" si="3"/>
        <v>112.0840336134454</v>
      </c>
      <c r="O22" s="20">
        <f t="shared" si="4"/>
        <v>0</v>
      </c>
      <c r="P22" s="21">
        <f t="shared" si="5"/>
        <v>-5.5630252100840067</v>
      </c>
      <c r="Q22" s="391">
        <f t="shared" si="6"/>
        <v>0.95271428571428596</v>
      </c>
      <c r="R22" s="573"/>
      <c r="S22" s="49">
        <v>0.26944444444444443</v>
      </c>
      <c r="T22" s="49">
        <v>0.31805555555555554</v>
      </c>
      <c r="U22" s="392">
        <f t="shared" ref="U22:U26" si="22">IF(S22=TIME(17,0,0),"",(S22-T21)*24*60)</f>
        <v>6.9999999999999751</v>
      </c>
      <c r="V22" s="399">
        <f t="shared" si="21"/>
        <v>69.999999999999986</v>
      </c>
      <c r="W22" s="25"/>
      <c r="X22" s="392"/>
      <c r="Y22" s="392"/>
      <c r="Z22" s="392"/>
      <c r="AA22" s="575"/>
      <c r="AB22" s="575"/>
      <c r="AC22" s="50"/>
      <c r="AD22" s="27"/>
      <c r="AE22" s="20">
        <f t="shared" si="8"/>
        <v>-94.571428571428214</v>
      </c>
      <c r="AF22" s="391">
        <f t="shared" si="9"/>
        <v>0.95271428571428585</v>
      </c>
      <c r="AG22" s="573"/>
    </row>
    <row r="23" spans="1:33" ht="15.75" customHeight="1">
      <c r="A23" s="597" t="s">
        <v>2454</v>
      </c>
      <c r="B23" s="39" t="s">
        <v>74</v>
      </c>
      <c r="C23" s="594" t="s">
        <v>90</v>
      </c>
      <c r="D23" s="594"/>
      <c r="E23" s="39">
        <v>57.73</v>
      </c>
      <c r="F23" s="400">
        <v>2514</v>
      </c>
      <c r="G23" s="392">
        <f t="shared" si="19"/>
        <v>145133.22</v>
      </c>
      <c r="H23" s="48" t="s">
        <v>126</v>
      </c>
      <c r="I23" s="398">
        <v>14</v>
      </c>
      <c r="J23" s="43">
        <v>2000</v>
      </c>
      <c r="K23" s="18">
        <f t="shared" si="1"/>
        <v>142.85714285714286</v>
      </c>
      <c r="L23" s="398">
        <v>14</v>
      </c>
      <c r="M23" s="19">
        <f t="shared" si="20"/>
        <v>1909.3670886075938</v>
      </c>
      <c r="N23" s="18">
        <f t="shared" si="3"/>
        <v>136.38336347197099</v>
      </c>
      <c r="O23" s="20">
        <f t="shared" si="4"/>
        <v>0</v>
      </c>
      <c r="P23" s="21">
        <f t="shared" si="5"/>
        <v>-6.4737793851718664</v>
      </c>
      <c r="Q23" s="391">
        <f t="shared" si="6"/>
        <v>0.95468354430379698</v>
      </c>
      <c r="R23" s="573"/>
      <c r="S23" s="49">
        <v>0.32222222222222219</v>
      </c>
      <c r="T23" s="49">
        <v>0.37708333333333333</v>
      </c>
      <c r="U23" s="392">
        <f t="shared" si="22"/>
        <v>5.9999999999999787</v>
      </c>
      <c r="V23" s="399">
        <f t="shared" si="21"/>
        <v>79.000000000000043</v>
      </c>
      <c r="W23" s="25"/>
      <c r="X23" s="392"/>
      <c r="Y23" s="392"/>
      <c r="Z23" s="392"/>
      <c r="AA23" s="575"/>
      <c r="AB23" s="575"/>
      <c r="AC23" s="50"/>
      <c r="AD23" s="27"/>
      <c r="AE23" s="20">
        <f t="shared" si="8"/>
        <v>-90.632911392406186</v>
      </c>
      <c r="AF23" s="391">
        <f t="shared" si="9"/>
        <v>0.95468354430379687</v>
      </c>
      <c r="AG23" s="573"/>
    </row>
    <row r="24" spans="1:33" ht="15.75" customHeight="1">
      <c r="A24" s="597" t="s">
        <v>53</v>
      </c>
      <c r="B24" s="39" t="s">
        <v>74</v>
      </c>
      <c r="C24" s="594" t="s">
        <v>1232</v>
      </c>
      <c r="D24" s="594"/>
      <c r="E24" s="39">
        <v>53.27</v>
      </c>
      <c r="F24" s="400">
        <v>2522</v>
      </c>
      <c r="G24" s="392">
        <f t="shared" si="19"/>
        <v>134346.94</v>
      </c>
      <c r="H24" s="48" t="s">
        <v>126</v>
      </c>
      <c r="I24" s="398">
        <v>16</v>
      </c>
      <c r="J24" s="43">
        <v>2000</v>
      </c>
      <c r="K24" s="18">
        <f t="shared" si="1"/>
        <v>125</v>
      </c>
      <c r="L24" s="398">
        <v>16</v>
      </c>
      <c r="M24" s="19">
        <f t="shared" si="20"/>
        <v>1915.4430379746825</v>
      </c>
      <c r="N24" s="18">
        <f t="shared" si="3"/>
        <v>119.71518987341766</v>
      </c>
      <c r="O24" s="20">
        <f t="shared" si="4"/>
        <v>0</v>
      </c>
      <c r="P24" s="21">
        <f t="shared" si="5"/>
        <v>-5.2848101265823431</v>
      </c>
      <c r="Q24" s="391">
        <f t="shared" si="6"/>
        <v>0.95772151898734126</v>
      </c>
      <c r="R24" s="573"/>
      <c r="S24" s="49">
        <v>0.38124999999999998</v>
      </c>
      <c r="T24" s="49">
        <v>0.43611111111111112</v>
      </c>
      <c r="U24" s="392">
        <f t="shared" si="22"/>
        <v>5.9999999999999787</v>
      </c>
      <c r="V24" s="399">
        <f t="shared" si="21"/>
        <v>79.000000000000043</v>
      </c>
      <c r="W24" s="25"/>
      <c r="X24" s="392"/>
      <c r="Y24" s="392"/>
      <c r="Z24" s="392"/>
      <c r="AA24" s="575"/>
      <c r="AB24" s="575"/>
      <c r="AC24" s="50"/>
      <c r="AD24" s="27"/>
      <c r="AE24" s="20">
        <f t="shared" si="8"/>
        <v>-84.556962025317489</v>
      </c>
      <c r="AF24" s="391">
        <f t="shared" si="9"/>
        <v>0.95772151898734126</v>
      </c>
      <c r="AG24" s="573"/>
    </row>
    <row r="25" spans="1:33" ht="15.75" customHeight="1">
      <c r="A25" s="597" t="s">
        <v>2454</v>
      </c>
      <c r="B25" s="39" t="s">
        <v>74</v>
      </c>
      <c r="C25" s="594" t="s">
        <v>92</v>
      </c>
      <c r="D25" s="594"/>
      <c r="E25" s="39">
        <v>50.49</v>
      </c>
      <c r="F25" s="400">
        <v>2157</v>
      </c>
      <c r="G25" s="392">
        <f t="shared" si="19"/>
        <v>108906.93000000001</v>
      </c>
      <c r="H25" s="48" t="s">
        <v>126</v>
      </c>
      <c r="I25" s="398">
        <v>15</v>
      </c>
      <c r="J25" s="43">
        <v>2000</v>
      </c>
      <c r="K25" s="18">
        <f t="shared" si="1"/>
        <v>133.33333333333334</v>
      </c>
      <c r="L25" s="398">
        <v>15</v>
      </c>
      <c r="M25" s="19">
        <f t="shared" si="20"/>
        <v>1931.6417910447735</v>
      </c>
      <c r="N25" s="18">
        <f t="shared" si="3"/>
        <v>128.7761194029849</v>
      </c>
      <c r="O25" s="20">
        <f t="shared" si="4"/>
        <v>0</v>
      </c>
      <c r="P25" s="21">
        <f t="shared" si="5"/>
        <v>-4.5572139303484391</v>
      </c>
      <c r="Q25" s="391">
        <f t="shared" si="6"/>
        <v>0.9658208955223867</v>
      </c>
      <c r="R25" s="573"/>
      <c r="S25" s="49">
        <v>0.70833333333333337</v>
      </c>
      <c r="T25" s="49">
        <v>0.7548611111111112</v>
      </c>
      <c r="U25" s="392" t="str">
        <f t="shared" si="22"/>
        <v/>
      </c>
      <c r="V25" s="399">
        <f t="shared" si="21"/>
        <v>67.000000000000085</v>
      </c>
      <c r="W25" s="25"/>
      <c r="X25" s="25"/>
      <c r="Y25" s="392"/>
      <c r="Z25" s="392"/>
      <c r="AA25" s="575"/>
      <c r="AB25" s="575"/>
      <c r="AC25" s="50"/>
      <c r="AD25" s="27"/>
      <c r="AE25" s="20">
        <f t="shared" si="8"/>
        <v>-68.358208955226473</v>
      </c>
      <c r="AF25" s="391">
        <f t="shared" si="9"/>
        <v>0.96582089552238681</v>
      </c>
      <c r="AG25" s="573"/>
    </row>
    <row r="26" spans="1:33" ht="15.75" customHeight="1">
      <c r="A26" s="597" t="s">
        <v>53</v>
      </c>
      <c r="B26" s="39" t="s">
        <v>74</v>
      </c>
      <c r="C26" s="594" t="s">
        <v>93</v>
      </c>
      <c r="D26" s="594"/>
      <c r="E26" s="39">
        <v>50.98</v>
      </c>
      <c r="F26" s="400">
        <v>2328</v>
      </c>
      <c r="G26" s="392">
        <f t="shared" si="19"/>
        <v>118681.43999999999</v>
      </c>
      <c r="H26" s="48" t="s">
        <v>126</v>
      </c>
      <c r="I26" s="398">
        <v>16</v>
      </c>
      <c r="J26" s="43">
        <v>2000</v>
      </c>
      <c r="K26" s="18">
        <f t="shared" si="1"/>
        <v>125</v>
      </c>
      <c r="L26" s="398">
        <v>16</v>
      </c>
      <c r="M26" s="19">
        <f t="shared" si="20"/>
        <v>1913.4246575342449</v>
      </c>
      <c r="N26" s="18">
        <f t="shared" si="3"/>
        <v>119.58904109589031</v>
      </c>
      <c r="O26" s="20">
        <f t="shared" si="4"/>
        <v>0</v>
      </c>
      <c r="P26" s="21">
        <f t="shared" si="5"/>
        <v>-5.410958904109691</v>
      </c>
      <c r="Q26" s="391">
        <f t="shared" si="6"/>
        <v>0.95671232876712242</v>
      </c>
      <c r="R26" s="573"/>
      <c r="S26" s="49">
        <v>0.7597222222222223</v>
      </c>
      <c r="T26" s="49">
        <v>0.81041666666666679</v>
      </c>
      <c r="U26" s="392">
        <f t="shared" si="22"/>
        <v>6.9999999999999751</v>
      </c>
      <c r="V26" s="399">
        <f t="shared" si="21"/>
        <v>73.000000000000057</v>
      </c>
      <c r="W26" s="25"/>
      <c r="X26" s="30"/>
      <c r="Y26" s="30"/>
      <c r="Z26" s="30"/>
      <c r="AA26" s="575"/>
      <c r="AB26" s="575"/>
      <c r="AC26" s="50"/>
      <c r="AD26" s="27"/>
      <c r="AE26" s="20">
        <f t="shared" si="8"/>
        <v>-86.575342465755057</v>
      </c>
      <c r="AF26" s="391">
        <f t="shared" si="9"/>
        <v>0.95671232876712242</v>
      </c>
      <c r="AG26" s="573"/>
    </row>
    <row r="27" spans="1:33" ht="15.75" customHeight="1">
      <c r="A27" s="597" t="s">
        <v>53</v>
      </c>
      <c r="B27" s="39" t="s">
        <v>46</v>
      </c>
      <c r="C27" s="576"/>
      <c r="D27" s="576"/>
      <c r="E27" s="393"/>
      <c r="F27" s="400"/>
      <c r="G27" s="392"/>
      <c r="H27" s="400"/>
      <c r="I27" s="32">
        <v>15.833333333333334</v>
      </c>
      <c r="J27" s="43">
        <v>1916.6666666666667</v>
      </c>
      <c r="K27" s="18">
        <f t="shared" si="1"/>
        <v>121.05263157894737</v>
      </c>
      <c r="L27" s="32">
        <v>15.833333333333334</v>
      </c>
      <c r="M27" s="19">
        <f>AVERAGE(M21:M26)</f>
        <v>1834.1557960365826</v>
      </c>
      <c r="N27" s="18">
        <f t="shared" si="3"/>
        <v>115.84141869704732</v>
      </c>
      <c r="O27" s="20">
        <f t="shared" si="4"/>
        <v>0</v>
      </c>
      <c r="P27" s="21">
        <f t="shared" si="5"/>
        <v>-5.2112128819000532</v>
      </c>
      <c r="Q27" s="391">
        <f t="shared" si="6"/>
        <v>0.95695085010604308</v>
      </c>
      <c r="R27" s="573"/>
      <c r="S27" s="49"/>
      <c r="T27" s="49"/>
      <c r="U27" s="18"/>
      <c r="V27" s="399"/>
      <c r="W27" s="18"/>
      <c r="X27" s="18"/>
      <c r="Y27" s="33">
        <f>SUM(Y21:Y26)</f>
        <v>0</v>
      </c>
      <c r="Z27" s="33">
        <f>SUM(Z21:Z26)</f>
        <v>0</v>
      </c>
      <c r="AA27" s="572"/>
      <c r="AB27" s="572"/>
      <c r="AC27" s="33">
        <v>6</v>
      </c>
      <c r="AD27" s="33">
        <f>SUM(AD21:AD26)</f>
        <v>0</v>
      </c>
      <c r="AE27" s="20">
        <f t="shared" si="8"/>
        <v>-82.510870630084128</v>
      </c>
      <c r="AF27" s="391">
        <f t="shared" si="9"/>
        <v>0.95695085010604308</v>
      </c>
      <c r="AG27" s="573"/>
    </row>
    <row r="28" spans="1:33" ht="15.75" customHeight="1">
      <c r="A28" s="595" t="s">
        <v>2455</v>
      </c>
      <c r="B28" s="39" t="s">
        <v>94</v>
      </c>
      <c r="C28" s="594" t="s">
        <v>95</v>
      </c>
      <c r="D28" s="594"/>
      <c r="E28" s="39">
        <v>31.29</v>
      </c>
      <c r="F28" s="400">
        <v>6200</v>
      </c>
      <c r="G28" s="392">
        <f t="shared" ref="G28:G35" si="23">E28*F28</f>
        <v>193998</v>
      </c>
      <c r="H28" s="48">
        <v>2</v>
      </c>
      <c r="I28" s="398">
        <v>18</v>
      </c>
      <c r="J28" s="43">
        <v>2400</v>
      </c>
      <c r="K28" s="18">
        <f t="shared" si="1"/>
        <v>133.33333333333334</v>
      </c>
      <c r="L28" s="398">
        <v>18</v>
      </c>
      <c r="M28" s="19">
        <f t="shared" ref="M28:M35" si="24">F28/V28*60</f>
        <v>2282.2085889570549</v>
      </c>
      <c r="N28" s="18">
        <f t="shared" si="3"/>
        <v>126.78936605316972</v>
      </c>
      <c r="O28" s="20">
        <f t="shared" si="4"/>
        <v>0</v>
      </c>
      <c r="P28" s="21">
        <f t="shared" si="5"/>
        <v>-6.5439672801636277</v>
      </c>
      <c r="Q28" s="391">
        <f t="shared" si="6"/>
        <v>0.95092024539877285</v>
      </c>
      <c r="R28" s="573">
        <f>Q36</f>
        <v>0.95496515496132817</v>
      </c>
      <c r="S28" s="49">
        <v>8.3333333333333329E-2</v>
      </c>
      <c r="T28" s="49">
        <v>0.19652777777777777</v>
      </c>
      <c r="U28" s="392"/>
      <c r="V28" s="399">
        <f t="shared" ref="V28:V35" si="25">(T28-S28)*24*60</f>
        <v>163</v>
      </c>
      <c r="W28" s="25">
        <f>T28</f>
        <v>0.19652777777777777</v>
      </c>
      <c r="X28" s="25">
        <f>S29</f>
        <v>0.21388888888888885</v>
      </c>
      <c r="Y28" s="25"/>
      <c r="Z28" s="25"/>
      <c r="AA28" s="575"/>
      <c r="AB28" s="575"/>
      <c r="AC28" s="50">
        <v>8</v>
      </c>
      <c r="AD28" s="27"/>
      <c r="AE28" s="20">
        <f t="shared" si="8"/>
        <v>-117.79141104294513</v>
      </c>
      <c r="AF28" s="391">
        <f t="shared" si="9"/>
        <v>0.95092024539877285</v>
      </c>
      <c r="AG28" s="573">
        <f>AF36</f>
        <v>0.95496515496132817</v>
      </c>
    </row>
    <row r="29" spans="1:33" ht="15.75" customHeight="1">
      <c r="A29" s="595" t="s">
        <v>56</v>
      </c>
      <c r="B29" s="39" t="s">
        <v>94</v>
      </c>
      <c r="C29" s="594" t="s">
        <v>97</v>
      </c>
      <c r="D29" s="594"/>
      <c r="E29" s="39">
        <v>26.37</v>
      </c>
      <c r="F29" s="400">
        <v>4200</v>
      </c>
      <c r="G29" s="392">
        <f t="shared" si="23"/>
        <v>110754</v>
      </c>
      <c r="H29" s="48">
        <v>2</v>
      </c>
      <c r="I29" s="398">
        <v>18</v>
      </c>
      <c r="J29" s="43">
        <v>2400</v>
      </c>
      <c r="K29" s="18">
        <f t="shared" si="1"/>
        <v>133.33333333333334</v>
      </c>
      <c r="L29" s="398">
        <v>18</v>
      </c>
      <c r="M29" s="19">
        <f t="shared" si="24"/>
        <v>2290.909090909091</v>
      </c>
      <c r="N29" s="18">
        <f t="shared" si="3"/>
        <v>127.27272727272728</v>
      </c>
      <c r="O29" s="20">
        <f t="shared" si="4"/>
        <v>0</v>
      </c>
      <c r="P29" s="21">
        <f t="shared" si="5"/>
        <v>-6.0606060606060623</v>
      </c>
      <c r="Q29" s="391">
        <f t="shared" si="6"/>
        <v>0.95454545454545459</v>
      </c>
      <c r="R29" s="573"/>
      <c r="S29" s="49">
        <v>0.21388888888888885</v>
      </c>
      <c r="T29" s="49">
        <v>0.29027777777777775</v>
      </c>
      <c r="U29" s="392">
        <f t="shared" ref="U29:U35" si="26">(S29-T28)*24*60</f>
        <v>24.99999999999995</v>
      </c>
      <c r="V29" s="399">
        <f t="shared" si="25"/>
        <v>110.00000000000001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-109.09090909090901</v>
      </c>
      <c r="AF29" s="391">
        <f t="shared" si="9"/>
        <v>0.95454545454545459</v>
      </c>
      <c r="AG29" s="573"/>
    </row>
    <row r="30" spans="1:33" ht="15.75" customHeight="1">
      <c r="A30" s="595" t="s">
        <v>56</v>
      </c>
      <c r="B30" s="39" t="s">
        <v>94</v>
      </c>
      <c r="C30" s="594" t="s">
        <v>1231</v>
      </c>
      <c r="D30" s="594"/>
      <c r="E30" s="39">
        <v>25.99</v>
      </c>
      <c r="F30" s="400">
        <v>2600</v>
      </c>
      <c r="G30" s="392">
        <f t="shared" si="23"/>
        <v>67574</v>
      </c>
      <c r="H30" s="48">
        <v>2</v>
      </c>
      <c r="I30" s="398">
        <v>18</v>
      </c>
      <c r="J30" s="43">
        <v>2400</v>
      </c>
      <c r="K30" s="18">
        <f t="shared" si="1"/>
        <v>133.33333333333334</v>
      </c>
      <c r="L30" s="398">
        <v>18</v>
      </c>
      <c r="M30" s="19">
        <f t="shared" si="24"/>
        <v>2294.1176470588234</v>
      </c>
      <c r="N30" s="18">
        <f t="shared" si="3"/>
        <v>127.45098039215685</v>
      </c>
      <c r="O30" s="20">
        <f t="shared" si="4"/>
        <v>0</v>
      </c>
      <c r="P30" s="21">
        <f t="shared" si="5"/>
        <v>-5.8823529411764923</v>
      </c>
      <c r="Q30" s="391">
        <f t="shared" si="6"/>
        <v>0.95588235294117629</v>
      </c>
      <c r="R30" s="573"/>
      <c r="S30" s="49">
        <v>0.29374999999999996</v>
      </c>
      <c r="T30" s="49">
        <v>0.34097222222222218</v>
      </c>
      <c r="U30" s="392">
        <f t="shared" si="26"/>
        <v>4.9999999999999822</v>
      </c>
      <c r="V30" s="399">
        <f t="shared" si="25"/>
        <v>68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-105.88235294117658</v>
      </c>
      <c r="AF30" s="391">
        <f t="shared" si="9"/>
        <v>0.95588235294117641</v>
      </c>
      <c r="AG30" s="573"/>
    </row>
    <row r="31" spans="1:33" ht="15.75" customHeight="1">
      <c r="A31" s="595" t="s">
        <v>2455</v>
      </c>
      <c r="B31" s="39" t="s">
        <v>94</v>
      </c>
      <c r="C31" s="594" t="s">
        <v>529</v>
      </c>
      <c r="D31" s="594"/>
      <c r="E31" s="39">
        <v>26.18</v>
      </c>
      <c r="F31" s="400">
        <v>4800</v>
      </c>
      <c r="G31" s="392">
        <f t="shared" si="23"/>
        <v>125664</v>
      </c>
      <c r="H31" s="48">
        <v>2</v>
      </c>
      <c r="I31" s="398">
        <v>18</v>
      </c>
      <c r="J31" s="43">
        <v>2400</v>
      </c>
      <c r="K31" s="18">
        <f t="shared" si="1"/>
        <v>133.33333333333334</v>
      </c>
      <c r="L31" s="398">
        <v>18</v>
      </c>
      <c r="M31" s="19">
        <f t="shared" si="24"/>
        <v>2285.7142857142853</v>
      </c>
      <c r="N31" s="18">
        <f t="shared" si="3"/>
        <v>126.98412698412696</v>
      </c>
      <c r="O31" s="20">
        <f t="shared" si="4"/>
        <v>0</v>
      </c>
      <c r="P31" s="21">
        <f t="shared" si="5"/>
        <v>-6.3492063492063835</v>
      </c>
      <c r="Q31" s="391">
        <f t="shared" si="6"/>
        <v>0.95238095238095211</v>
      </c>
      <c r="R31" s="573"/>
      <c r="S31" s="49">
        <v>0.34444444444444439</v>
      </c>
      <c r="T31" s="49">
        <v>0.43194444444444441</v>
      </c>
      <c r="U31" s="392">
        <f t="shared" si="26"/>
        <v>4.9999999999999822</v>
      </c>
      <c r="V31" s="399">
        <f t="shared" si="25"/>
        <v>126.00000000000003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-114.28571428571468</v>
      </c>
      <c r="AF31" s="391">
        <f t="shared" si="9"/>
        <v>0.95238095238095222</v>
      </c>
      <c r="AG31" s="573"/>
    </row>
    <row r="32" spans="1:33" ht="15.75" customHeight="1">
      <c r="A32" s="595" t="s">
        <v>56</v>
      </c>
      <c r="B32" s="39" t="s">
        <v>94</v>
      </c>
      <c r="C32" s="594" t="s">
        <v>98</v>
      </c>
      <c r="D32" s="594"/>
      <c r="E32" s="39">
        <v>25.99</v>
      </c>
      <c r="F32" s="400">
        <v>4611</v>
      </c>
      <c r="G32" s="392">
        <f t="shared" si="23"/>
        <v>119839.89</v>
      </c>
      <c r="H32" s="48" t="s">
        <v>126</v>
      </c>
      <c r="I32" s="398">
        <v>14</v>
      </c>
      <c r="J32" s="43">
        <v>2400</v>
      </c>
      <c r="K32" s="18">
        <f t="shared" si="1"/>
        <v>171.42857142857142</v>
      </c>
      <c r="L32" s="398">
        <v>14</v>
      </c>
      <c r="M32" s="19">
        <f t="shared" si="24"/>
        <v>2286.4462809917359</v>
      </c>
      <c r="N32" s="18">
        <f t="shared" si="3"/>
        <v>163.3175914994097</v>
      </c>
      <c r="O32" s="20">
        <f t="shared" si="4"/>
        <v>0</v>
      </c>
      <c r="P32" s="21">
        <f t="shared" si="5"/>
        <v>-8.1109799291617151</v>
      </c>
      <c r="Q32" s="391">
        <f t="shared" si="6"/>
        <v>0.95268595041322335</v>
      </c>
      <c r="R32" s="573"/>
      <c r="S32" s="49">
        <v>0.43611111111111106</v>
      </c>
      <c r="T32" s="49">
        <v>0.52013888888888882</v>
      </c>
      <c r="U32" s="392">
        <f t="shared" si="26"/>
        <v>5.9999999999999787</v>
      </c>
      <c r="V32" s="399">
        <f t="shared" si="25"/>
        <v>120.99999999999997</v>
      </c>
      <c r="W32" s="25">
        <f>T32</f>
        <v>0.52013888888888882</v>
      </c>
      <c r="X32" s="25">
        <f>S33</f>
        <v>0.56111111111111101</v>
      </c>
      <c r="Y32" s="25"/>
      <c r="Z32" s="25"/>
      <c r="AA32" s="575"/>
      <c r="AB32" s="575"/>
      <c r="AC32" s="50"/>
      <c r="AD32" s="27"/>
      <c r="AE32" s="20">
        <f t="shared" si="8"/>
        <v>-113.55371900826412</v>
      </c>
      <c r="AF32" s="391">
        <f t="shared" si="9"/>
        <v>0.95268595041322324</v>
      </c>
      <c r="AG32" s="573"/>
    </row>
    <row r="33" spans="1:33" ht="15.75" customHeight="1">
      <c r="A33" s="595" t="s">
        <v>56</v>
      </c>
      <c r="B33" s="39" t="s">
        <v>94</v>
      </c>
      <c r="C33" s="594" t="s">
        <v>95</v>
      </c>
      <c r="D33" s="594"/>
      <c r="E33" s="39">
        <v>31.29</v>
      </c>
      <c r="F33" s="400">
        <v>4450</v>
      </c>
      <c r="G33" s="392">
        <f t="shared" si="23"/>
        <v>139240.5</v>
      </c>
      <c r="H33" s="48" t="s">
        <v>126</v>
      </c>
      <c r="I33" s="398">
        <v>18</v>
      </c>
      <c r="J33" s="43">
        <v>2400</v>
      </c>
      <c r="K33" s="18">
        <f t="shared" si="1"/>
        <v>133.33333333333334</v>
      </c>
      <c r="L33" s="398">
        <v>18</v>
      </c>
      <c r="M33" s="19">
        <f t="shared" si="24"/>
        <v>2301.7241379310331</v>
      </c>
      <c r="N33" s="18">
        <f t="shared" si="3"/>
        <v>127.87356321839073</v>
      </c>
      <c r="O33" s="20">
        <f t="shared" si="4"/>
        <v>0</v>
      </c>
      <c r="P33" s="21">
        <f t="shared" si="5"/>
        <v>-5.4597701149426143</v>
      </c>
      <c r="Q33" s="391">
        <f t="shared" si="6"/>
        <v>0.95905172413793038</v>
      </c>
      <c r="R33" s="573"/>
      <c r="S33" s="49">
        <v>0.56111111111111101</v>
      </c>
      <c r="T33" s="49">
        <v>0.64166666666666661</v>
      </c>
      <c r="U33" s="392">
        <f t="shared" si="26"/>
        <v>58.99999999999995</v>
      </c>
      <c r="V33" s="399">
        <f t="shared" si="25"/>
        <v>116.00000000000007</v>
      </c>
      <c r="W33" s="25"/>
      <c r="X33" s="25"/>
      <c r="Y33" s="25"/>
      <c r="Z33" s="25"/>
      <c r="AA33" s="575"/>
      <c r="AB33" s="575"/>
      <c r="AC33" s="50"/>
      <c r="AD33" s="27"/>
      <c r="AE33" s="20">
        <f t="shared" si="8"/>
        <v>-98.275862068966944</v>
      </c>
      <c r="AF33" s="391">
        <f t="shared" si="9"/>
        <v>0.95905172413793049</v>
      </c>
      <c r="AG33" s="573"/>
    </row>
    <row r="34" spans="1:33" ht="15.75" customHeight="1">
      <c r="A34" s="595" t="s">
        <v>56</v>
      </c>
      <c r="B34" s="39" t="s">
        <v>94</v>
      </c>
      <c r="C34" s="594" t="s">
        <v>529</v>
      </c>
      <c r="D34" s="594"/>
      <c r="E34" s="39">
        <v>26.18</v>
      </c>
      <c r="F34" s="400">
        <v>3704</v>
      </c>
      <c r="G34" s="392">
        <f t="shared" si="23"/>
        <v>96970.72</v>
      </c>
      <c r="H34" s="48" t="s">
        <v>126</v>
      </c>
      <c r="I34" s="398">
        <v>18</v>
      </c>
      <c r="J34" s="43">
        <v>2400</v>
      </c>
      <c r="K34" s="18">
        <f t="shared" si="1"/>
        <v>133.33333333333334</v>
      </c>
      <c r="L34" s="398">
        <v>18</v>
      </c>
      <c r="M34" s="19">
        <f t="shared" si="24"/>
        <v>2291.1340206185573</v>
      </c>
      <c r="N34" s="18">
        <f t="shared" si="3"/>
        <v>127.28522336769763</v>
      </c>
      <c r="O34" s="20">
        <f t="shared" si="4"/>
        <v>0</v>
      </c>
      <c r="P34" s="21">
        <f t="shared" si="5"/>
        <v>-6.0481099656357173</v>
      </c>
      <c r="Q34" s="391">
        <f t="shared" si="6"/>
        <v>0.95463917525773212</v>
      </c>
      <c r="R34" s="573"/>
      <c r="S34" s="49">
        <v>0.6465277777777777</v>
      </c>
      <c r="T34" s="49">
        <v>0.7138888888888888</v>
      </c>
      <c r="U34" s="392">
        <f t="shared" si="26"/>
        <v>6.9999999999999751</v>
      </c>
      <c r="V34" s="399">
        <f t="shared" si="25"/>
        <v>96.999999999999972</v>
      </c>
      <c r="W34" s="25"/>
      <c r="X34" s="25"/>
      <c r="Y34" s="25"/>
      <c r="Z34" s="25"/>
      <c r="AA34" s="575"/>
      <c r="AB34" s="575"/>
      <c r="AC34" s="50"/>
      <c r="AD34" s="27"/>
      <c r="AE34" s="20">
        <f t="shared" si="8"/>
        <v>-108.86597938144268</v>
      </c>
      <c r="AF34" s="391">
        <f t="shared" si="9"/>
        <v>0.95463917525773223</v>
      </c>
      <c r="AG34" s="573"/>
    </row>
    <row r="35" spans="1:33" ht="15.75" customHeight="1">
      <c r="A35" s="595" t="s">
        <v>2455</v>
      </c>
      <c r="B35" s="39" t="s">
        <v>94</v>
      </c>
      <c r="C35" s="402" t="s">
        <v>97</v>
      </c>
      <c r="D35" s="403"/>
      <c r="E35" s="39">
        <v>26.37</v>
      </c>
      <c r="F35" s="400">
        <v>2994</v>
      </c>
      <c r="G35" s="392">
        <f t="shared" si="23"/>
        <v>78951.78</v>
      </c>
      <c r="H35" s="48" t="s">
        <v>126</v>
      </c>
      <c r="I35" s="398">
        <v>18</v>
      </c>
      <c r="J35" s="43">
        <v>2400</v>
      </c>
      <c r="K35" s="18">
        <f t="shared" si="1"/>
        <v>133.33333333333334</v>
      </c>
      <c r="L35" s="398">
        <v>18</v>
      </c>
      <c r="M35" s="19">
        <f t="shared" si="24"/>
        <v>2303.076923076922</v>
      </c>
      <c r="N35" s="18">
        <f t="shared" si="3"/>
        <v>127.94871794871788</v>
      </c>
      <c r="O35" s="20">
        <f t="shared" si="4"/>
        <v>0</v>
      </c>
      <c r="P35" s="21">
        <f t="shared" si="5"/>
        <v>-5.3846153846154579</v>
      </c>
      <c r="Q35" s="391">
        <f t="shared" si="6"/>
        <v>0.95961538461538409</v>
      </c>
      <c r="R35" s="573"/>
      <c r="S35" s="49">
        <v>0.71874999999999989</v>
      </c>
      <c r="T35" s="49">
        <v>0.77291666666666659</v>
      </c>
      <c r="U35" s="392">
        <f t="shared" si="26"/>
        <v>6.9999999999999751</v>
      </c>
      <c r="V35" s="399">
        <f t="shared" si="25"/>
        <v>78.000000000000043</v>
      </c>
      <c r="W35" s="25"/>
      <c r="X35" s="25"/>
      <c r="Y35" s="25"/>
      <c r="Z35" s="25"/>
      <c r="AA35" s="396"/>
      <c r="AB35" s="397"/>
      <c r="AC35" s="50"/>
      <c r="AD35" s="27"/>
      <c r="AE35" s="20">
        <f t="shared" si="8"/>
        <v>-96.923076923078042</v>
      </c>
      <c r="AF35" s="391">
        <f t="shared" si="9"/>
        <v>0.9596153846153842</v>
      </c>
      <c r="AG35" s="573"/>
    </row>
    <row r="36" spans="1:33" ht="15.75" customHeight="1">
      <c r="A36" s="595" t="s">
        <v>56</v>
      </c>
      <c r="B36" s="39" t="s">
        <v>46</v>
      </c>
      <c r="C36" s="576"/>
      <c r="D36" s="576"/>
      <c r="E36" s="393"/>
      <c r="F36" s="400"/>
      <c r="G36" s="392"/>
      <c r="H36" s="400"/>
      <c r="I36" s="32">
        <v>17.5</v>
      </c>
      <c r="J36" s="43">
        <v>2400</v>
      </c>
      <c r="K36" s="18">
        <f t="shared" si="1"/>
        <v>137.14285714285714</v>
      </c>
      <c r="L36" s="32">
        <v>17.5</v>
      </c>
      <c r="M36" s="19">
        <f>AVERAGE(M28:M35)</f>
        <v>2291.9163719071876</v>
      </c>
      <c r="N36" s="18">
        <f t="shared" si="3"/>
        <v>130.96664982326786</v>
      </c>
      <c r="O36" s="20">
        <f t="shared" si="4"/>
        <v>0</v>
      </c>
      <c r="P36" s="21">
        <f t="shared" si="5"/>
        <v>-6.176207319589281</v>
      </c>
      <c r="Q36" s="391">
        <f t="shared" si="6"/>
        <v>0.95496515496132817</v>
      </c>
      <c r="R36" s="573"/>
      <c r="S36" s="49"/>
      <c r="T36" s="49"/>
      <c r="U36" s="392"/>
      <c r="V36" s="399"/>
      <c r="W36" s="392"/>
      <c r="X36" s="392"/>
      <c r="Y36" s="33">
        <f>SUM(Y28:Y35)</f>
        <v>0</v>
      </c>
      <c r="Z36" s="33">
        <f>SUM(Z28:Z35)</f>
        <v>0</v>
      </c>
      <c r="AA36" s="572"/>
      <c r="AB36" s="572"/>
      <c r="AC36" s="33">
        <v>8</v>
      </c>
      <c r="AD36" s="33">
        <f>SUM(AD28:AD35)</f>
        <v>0</v>
      </c>
      <c r="AE36" s="20">
        <f t="shared" si="8"/>
        <v>-108.08362809281243</v>
      </c>
      <c r="AF36" s="391">
        <f t="shared" si="9"/>
        <v>0.95496515496132817</v>
      </c>
      <c r="AG36" s="573"/>
    </row>
    <row r="37" spans="1:33" ht="15.75" customHeight="1">
      <c r="A37" s="592" t="s">
        <v>2456</v>
      </c>
      <c r="B37" s="39" t="s">
        <v>94</v>
      </c>
      <c r="C37" s="574" t="s">
        <v>530</v>
      </c>
      <c r="D37" s="574"/>
      <c r="E37" s="39">
        <v>26.18</v>
      </c>
      <c r="F37" s="400">
        <v>4200</v>
      </c>
      <c r="G37" s="392">
        <f t="shared" ref="G37:G45" si="27">E37*F37</f>
        <v>109956</v>
      </c>
      <c r="H37" s="48">
        <v>2</v>
      </c>
      <c r="I37" s="398">
        <v>20</v>
      </c>
      <c r="J37" s="43">
        <v>2400</v>
      </c>
      <c r="K37" s="18">
        <f t="shared" si="1"/>
        <v>120</v>
      </c>
      <c r="L37" s="398">
        <v>20</v>
      </c>
      <c r="M37" s="19">
        <f t="shared" ref="M37:M45" si="28">F37/V37*60</f>
        <v>2290.909090909091</v>
      </c>
      <c r="N37" s="18">
        <f t="shared" si="3"/>
        <v>114.54545454545455</v>
      </c>
      <c r="O37" s="20">
        <f t="shared" si="4"/>
        <v>0</v>
      </c>
      <c r="P37" s="21">
        <f t="shared" si="5"/>
        <v>-5.4545454545454533</v>
      </c>
      <c r="Q37" s="391">
        <f t="shared" si="6"/>
        <v>0.95454545454545459</v>
      </c>
      <c r="R37" s="573">
        <f>Q46</f>
        <v>0.95647211724239722</v>
      </c>
      <c r="S37" s="49">
        <v>8.3333333333333329E-2</v>
      </c>
      <c r="T37" s="49">
        <v>0.15972222222222221</v>
      </c>
      <c r="U37" s="392"/>
      <c r="V37" s="399">
        <f t="shared" ref="V37:V45" si="29">(T37-S37)*24*60</f>
        <v>109.99999999999999</v>
      </c>
      <c r="W37" s="30">
        <f>T37</f>
        <v>0.15972222222222221</v>
      </c>
      <c r="X37" s="30">
        <f>S38</f>
        <v>0.17916666666666667</v>
      </c>
      <c r="Y37" s="30"/>
      <c r="Z37" s="30"/>
      <c r="AA37" s="575"/>
      <c r="AB37" s="575"/>
      <c r="AC37" s="50">
        <v>9</v>
      </c>
      <c r="AD37" s="27"/>
      <c r="AE37" s="20">
        <f t="shared" si="8"/>
        <v>-109.09090909090901</v>
      </c>
      <c r="AF37" s="391">
        <f t="shared" si="9"/>
        <v>0.95454545454545459</v>
      </c>
      <c r="AG37" s="573">
        <f>AF46</f>
        <v>0.95647211724239711</v>
      </c>
    </row>
    <row r="38" spans="1:33" ht="15.75" customHeight="1">
      <c r="A38" s="592" t="s">
        <v>2456</v>
      </c>
      <c r="B38" s="39" t="s">
        <v>94</v>
      </c>
      <c r="C38" s="574" t="s">
        <v>100</v>
      </c>
      <c r="D38" s="574"/>
      <c r="E38" s="39">
        <v>24.43</v>
      </c>
      <c r="F38" s="400">
        <v>4000</v>
      </c>
      <c r="G38" s="392">
        <f t="shared" si="27"/>
        <v>97720</v>
      </c>
      <c r="H38" s="48">
        <v>2</v>
      </c>
      <c r="I38" s="398">
        <v>14</v>
      </c>
      <c r="J38" s="43">
        <v>2400</v>
      </c>
      <c r="K38" s="18">
        <f t="shared" si="1"/>
        <v>171.42857142857142</v>
      </c>
      <c r="L38" s="398">
        <v>14</v>
      </c>
      <c r="M38" s="19">
        <f t="shared" si="28"/>
        <v>2285.7142857142862</v>
      </c>
      <c r="N38" s="18">
        <f t="shared" si="3"/>
        <v>163.265306122449</v>
      </c>
      <c r="O38" s="20">
        <f t="shared" si="4"/>
        <v>0</v>
      </c>
      <c r="P38" s="21">
        <f t="shared" si="5"/>
        <v>-8.1632653061224119</v>
      </c>
      <c r="Q38" s="391">
        <f t="shared" si="6"/>
        <v>0.95238095238095255</v>
      </c>
      <c r="R38" s="573"/>
      <c r="S38" s="49">
        <v>0.17916666666666667</v>
      </c>
      <c r="T38" s="49">
        <v>0.25208333333333333</v>
      </c>
      <c r="U38" s="392">
        <f t="shared" ref="U38:U45" si="30">(S38-T37)*24*60</f>
        <v>28.000000000000021</v>
      </c>
      <c r="V38" s="399">
        <f t="shared" si="29"/>
        <v>104.99999999999999</v>
      </c>
      <c r="W38" s="392"/>
      <c r="X38" s="392"/>
      <c r="Y38" s="392"/>
      <c r="Z38" s="392"/>
      <c r="AA38" s="575"/>
      <c r="AB38" s="575"/>
      <c r="AC38" s="50"/>
      <c r="AD38" s="27"/>
      <c r="AE38" s="20">
        <f t="shared" si="8"/>
        <v>-114.28571428571377</v>
      </c>
      <c r="AF38" s="391">
        <f t="shared" si="9"/>
        <v>0.95238095238095255</v>
      </c>
      <c r="AG38" s="573"/>
    </row>
    <row r="39" spans="1:33">
      <c r="A39" s="593" t="s">
        <v>59</v>
      </c>
      <c r="B39" s="39" t="s">
        <v>94</v>
      </c>
      <c r="C39" s="574" t="s">
        <v>102</v>
      </c>
      <c r="D39" s="574"/>
      <c r="E39" s="39">
        <v>34.1</v>
      </c>
      <c r="F39" s="400">
        <v>4000</v>
      </c>
      <c r="G39" s="392">
        <f t="shared" si="27"/>
        <v>136400</v>
      </c>
      <c r="H39" s="48">
        <v>2</v>
      </c>
      <c r="I39" s="398">
        <v>17</v>
      </c>
      <c r="J39" s="43">
        <v>1600</v>
      </c>
      <c r="K39" s="18">
        <f t="shared" si="1"/>
        <v>94.117647058823536</v>
      </c>
      <c r="L39" s="398">
        <v>17</v>
      </c>
      <c r="M39" s="19">
        <f t="shared" si="28"/>
        <v>1528.6624203821657</v>
      </c>
      <c r="N39" s="18">
        <f t="shared" si="3"/>
        <v>89.92131884600974</v>
      </c>
      <c r="O39" s="20">
        <f t="shared" si="4"/>
        <v>0</v>
      </c>
      <c r="P39" s="21">
        <f t="shared" si="5"/>
        <v>-4.1963282128137962</v>
      </c>
      <c r="Q39" s="391">
        <f t="shared" si="6"/>
        <v>0.9554140127388534</v>
      </c>
      <c r="R39" s="573"/>
      <c r="S39" s="49">
        <v>0.25763888888888886</v>
      </c>
      <c r="T39" s="49">
        <v>0.36666666666666664</v>
      </c>
      <c r="U39" s="392">
        <f t="shared" si="30"/>
        <v>7.9999999999999716</v>
      </c>
      <c r="V39" s="399">
        <f t="shared" si="29"/>
        <v>157</v>
      </c>
      <c r="W39" s="392"/>
      <c r="X39" s="392"/>
      <c r="Y39" s="392"/>
      <c r="Z39" s="392"/>
      <c r="AA39" s="575"/>
      <c r="AB39" s="575"/>
      <c r="AC39" s="50"/>
      <c r="AD39" s="27"/>
      <c r="AE39" s="20">
        <f t="shared" si="8"/>
        <v>-71.337579617834308</v>
      </c>
      <c r="AF39" s="391">
        <f t="shared" si="9"/>
        <v>0.95541401273885351</v>
      </c>
      <c r="AG39" s="573"/>
    </row>
    <row r="40" spans="1:33">
      <c r="A40" s="593" t="s">
        <v>2456</v>
      </c>
      <c r="B40" s="39" t="s">
        <v>94</v>
      </c>
      <c r="C40" s="574" t="s">
        <v>101</v>
      </c>
      <c r="D40" s="574"/>
      <c r="E40" s="39">
        <v>25.98</v>
      </c>
      <c r="F40" s="400">
        <v>3519</v>
      </c>
      <c r="G40" s="392">
        <f t="shared" si="27"/>
        <v>91423.62</v>
      </c>
      <c r="H40" s="48" t="s">
        <v>126</v>
      </c>
      <c r="I40" s="398">
        <v>19</v>
      </c>
      <c r="J40" s="43">
        <v>2400</v>
      </c>
      <c r="K40" s="18">
        <f t="shared" si="1"/>
        <v>126.31578947368421</v>
      </c>
      <c r="L40" s="398">
        <v>19</v>
      </c>
      <c r="M40" s="19">
        <f t="shared" si="28"/>
        <v>2295</v>
      </c>
      <c r="N40" s="18">
        <f t="shared" si="3"/>
        <v>120.78947368421052</v>
      </c>
      <c r="O40" s="20">
        <f t="shared" si="4"/>
        <v>0</v>
      </c>
      <c r="P40" s="21">
        <f t="shared" si="5"/>
        <v>-5.526315789473685</v>
      </c>
      <c r="Q40" s="391">
        <f t="shared" si="6"/>
        <v>0.95625000000000004</v>
      </c>
      <c r="R40" s="573"/>
      <c r="S40" s="49">
        <v>0.37083333333333329</v>
      </c>
      <c r="T40" s="49">
        <v>0.43472222222222218</v>
      </c>
      <c r="U40" s="392">
        <f t="shared" si="30"/>
        <v>5.9999999999999787</v>
      </c>
      <c r="V40" s="399">
        <f t="shared" si="29"/>
        <v>92</v>
      </c>
      <c r="W40" s="25"/>
      <c r="X40" s="25"/>
      <c r="Y40" s="25"/>
      <c r="Z40" s="25"/>
      <c r="AA40" s="575"/>
      <c r="AB40" s="575"/>
      <c r="AC40" s="50"/>
      <c r="AD40" s="27"/>
      <c r="AE40" s="20">
        <f t="shared" si="8"/>
        <v>-105</v>
      </c>
      <c r="AF40" s="391">
        <f t="shared" si="9"/>
        <v>0.95625000000000004</v>
      </c>
      <c r="AG40" s="573"/>
    </row>
    <row r="41" spans="1:33">
      <c r="A41" s="593" t="s">
        <v>2456</v>
      </c>
      <c r="B41" s="39" t="s">
        <v>94</v>
      </c>
      <c r="C41" s="574" t="s">
        <v>103</v>
      </c>
      <c r="D41" s="574"/>
      <c r="E41" s="39">
        <v>20.2</v>
      </c>
      <c r="F41" s="400">
        <v>2500</v>
      </c>
      <c r="G41" s="392">
        <f t="shared" si="27"/>
        <v>50500</v>
      </c>
      <c r="H41" s="48" t="s">
        <v>126</v>
      </c>
      <c r="I41" s="398">
        <v>15</v>
      </c>
      <c r="J41" s="43">
        <v>2400</v>
      </c>
      <c r="K41" s="18">
        <f t="shared" si="1"/>
        <v>160</v>
      </c>
      <c r="L41" s="398">
        <v>15</v>
      </c>
      <c r="M41" s="19">
        <f t="shared" si="28"/>
        <v>2307.6923076923072</v>
      </c>
      <c r="N41" s="18">
        <f t="shared" si="3"/>
        <v>153.84615384615381</v>
      </c>
      <c r="O41" s="20">
        <f t="shared" si="4"/>
        <v>0</v>
      </c>
      <c r="P41" s="21">
        <f t="shared" si="5"/>
        <v>-6.1538461538461888</v>
      </c>
      <c r="Q41" s="391">
        <f t="shared" si="6"/>
        <v>0.96153846153846134</v>
      </c>
      <c r="R41" s="573"/>
      <c r="S41" s="49">
        <v>0.44027777777777771</v>
      </c>
      <c r="T41" s="49">
        <v>0.48541666666666661</v>
      </c>
      <c r="U41" s="392">
        <f t="shared" si="30"/>
        <v>7.9999999999999716</v>
      </c>
      <c r="V41" s="399">
        <f t="shared" si="29"/>
        <v>65.000000000000014</v>
      </c>
      <c r="W41" s="25">
        <f>T41</f>
        <v>0.48541666666666661</v>
      </c>
      <c r="X41" s="25">
        <f>S42</f>
        <v>0.52499999999999991</v>
      </c>
      <c r="Y41" s="25"/>
      <c r="Z41" s="25"/>
      <c r="AA41" s="575"/>
      <c r="AB41" s="575"/>
      <c r="AC41" s="50"/>
      <c r="AD41" s="27"/>
      <c r="AE41" s="20">
        <f t="shared" si="8"/>
        <v>-92.307692307692832</v>
      </c>
      <c r="AF41" s="391">
        <f t="shared" si="9"/>
        <v>0.96153846153846134</v>
      </c>
      <c r="AG41" s="573"/>
    </row>
    <row r="42" spans="1:33">
      <c r="A42" s="593" t="s">
        <v>2456</v>
      </c>
      <c r="B42" s="39" t="s">
        <v>94</v>
      </c>
      <c r="C42" s="574" t="s">
        <v>102</v>
      </c>
      <c r="D42" s="574"/>
      <c r="E42" s="39">
        <v>34.1</v>
      </c>
      <c r="F42" s="400">
        <v>3191</v>
      </c>
      <c r="G42" s="392">
        <f t="shared" si="27"/>
        <v>108813.1</v>
      </c>
      <c r="H42" s="48" t="s">
        <v>126</v>
      </c>
      <c r="I42" s="398">
        <v>17</v>
      </c>
      <c r="J42" s="43">
        <v>1600</v>
      </c>
      <c r="K42" s="18">
        <f t="shared" si="1"/>
        <v>94.117647058823536</v>
      </c>
      <c r="L42" s="398">
        <v>17</v>
      </c>
      <c r="M42" s="19">
        <f t="shared" si="28"/>
        <v>1531.6799999999996</v>
      </c>
      <c r="N42" s="18">
        <f t="shared" si="3"/>
        <v>90.098823529411746</v>
      </c>
      <c r="O42" s="20">
        <f t="shared" si="4"/>
        <v>0</v>
      </c>
      <c r="P42" s="21">
        <f t="shared" si="5"/>
        <v>-4.0188235294117902</v>
      </c>
      <c r="Q42" s="391">
        <f t="shared" si="6"/>
        <v>0.95729999999999971</v>
      </c>
      <c r="R42" s="573"/>
      <c r="S42" s="49">
        <v>0.52499999999999991</v>
      </c>
      <c r="T42" s="49">
        <v>0.61180555555555549</v>
      </c>
      <c r="U42" s="392">
        <f t="shared" si="30"/>
        <v>56.999999999999957</v>
      </c>
      <c r="V42" s="399">
        <f t="shared" si="29"/>
        <v>125.00000000000003</v>
      </c>
      <c r="W42" s="25"/>
      <c r="X42" s="25"/>
      <c r="Y42" s="25"/>
      <c r="Z42" s="25"/>
      <c r="AA42" s="575"/>
      <c r="AB42" s="575"/>
      <c r="AC42" s="50"/>
      <c r="AD42" s="27"/>
      <c r="AE42" s="20">
        <f t="shared" si="8"/>
        <v>-68.320000000000391</v>
      </c>
      <c r="AF42" s="391">
        <f t="shared" si="9"/>
        <v>0.95729999999999971</v>
      </c>
      <c r="AG42" s="573"/>
    </row>
    <row r="43" spans="1:33">
      <c r="A43" s="593" t="s">
        <v>2456</v>
      </c>
      <c r="B43" s="39" t="s">
        <v>94</v>
      </c>
      <c r="C43" s="574" t="s">
        <v>1231</v>
      </c>
      <c r="D43" s="574"/>
      <c r="E43" s="39">
        <v>25.99</v>
      </c>
      <c r="F43" s="400">
        <v>2009</v>
      </c>
      <c r="G43" s="392">
        <f t="shared" si="27"/>
        <v>52213.909999999996</v>
      </c>
      <c r="H43" s="48" t="s">
        <v>126</v>
      </c>
      <c r="I43" s="398">
        <v>18</v>
      </c>
      <c r="J43" s="43">
        <v>2400</v>
      </c>
      <c r="K43" s="18">
        <f t="shared" si="1"/>
        <v>133.33333333333334</v>
      </c>
      <c r="L43" s="398">
        <v>18</v>
      </c>
      <c r="M43" s="19">
        <f t="shared" si="28"/>
        <v>2318.0769230769247</v>
      </c>
      <c r="N43" s="18">
        <f t="shared" si="3"/>
        <v>128.78205128205138</v>
      </c>
      <c r="O43" s="20">
        <f t="shared" si="4"/>
        <v>0</v>
      </c>
      <c r="P43" s="21">
        <f t="shared" si="5"/>
        <v>-4.5512820512819587</v>
      </c>
      <c r="Q43" s="391">
        <f t="shared" si="6"/>
        <v>0.96586538461538529</v>
      </c>
      <c r="R43" s="573"/>
      <c r="S43" s="49">
        <v>0.61736111111111103</v>
      </c>
      <c r="T43" s="49">
        <v>0.65347222222222212</v>
      </c>
      <c r="U43" s="392">
        <f t="shared" si="30"/>
        <v>7.9999999999999716</v>
      </c>
      <c r="V43" s="399">
        <f t="shared" si="29"/>
        <v>51.999999999999972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-81.923076923075314</v>
      </c>
      <c r="AF43" s="391">
        <f t="shared" si="9"/>
        <v>0.96586538461538529</v>
      </c>
      <c r="AG43" s="573"/>
    </row>
    <row r="44" spans="1:33">
      <c r="A44" s="593" t="s">
        <v>2456</v>
      </c>
      <c r="B44" s="39" t="s">
        <v>94</v>
      </c>
      <c r="C44" s="574" t="s">
        <v>100</v>
      </c>
      <c r="D44" s="574"/>
      <c r="E44" s="39">
        <v>24.43</v>
      </c>
      <c r="F44" s="400">
        <v>3117</v>
      </c>
      <c r="G44" s="392">
        <f t="shared" si="27"/>
        <v>76148.31</v>
      </c>
      <c r="H44" s="48" t="s">
        <v>126</v>
      </c>
      <c r="I44" s="398">
        <v>14</v>
      </c>
      <c r="J44" s="43">
        <v>2400</v>
      </c>
      <c r="K44" s="18">
        <f t="shared" si="1"/>
        <v>171.42857142857142</v>
      </c>
      <c r="L44" s="398">
        <v>14</v>
      </c>
      <c r="M44" s="19">
        <f t="shared" si="28"/>
        <v>2280.7317073170725</v>
      </c>
      <c r="N44" s="18">
        <f t="shared" si="3"/>
        <v>162.90940766550517</v>
      </c>
      <c r="O44" s="20">
        <f t="shared" si="4"/>
        <v>0</v>
      </c>
      <c r="P44" s="21">
        <f t="shared" si="5"/>
        <v>-8.5191637630662456</v>
      </c>
      <c r="Q44" s="391">
        <f t="shared" si="6"/>
        <v>0.95030487804878028</v>
      </c>
      <c r="R44" s="573"/>
      <c r="S44" s="49">
        <v>0.65833333333333321</v>
      </c>
      <c r="T44" s="49">
        <v>0.71527777777777768</v>
      </c>
      <c r="U44" s="392">
        <f t="shared" si="30"/>
        <v>6.9999999999999751</v>
      </c>
      <c r="V44" s="399">
        <f t="shared" si="29"/>
        <v>82.000000000000028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-119.26829268292749</v>
      </c>
      <c r="AF44" s="391">
        <f t="shared" si="9"/>
        <v>0.95030487804878017</v>
      </c>
      <c r="AG44" s="573"/>
    </row>
    <row r="45" spans="1:33">
      <c r="A45" s="593" t="s">
        <v>2456</v>
      </c>
      <c r="B45" s="39" t="s">
        <v>94</v>
      </c>
      <c r="C45" s="566" t="s">
        <v>530</v>
      </c>
      <c r="D45" s="567"/>
      <c r="E45" s="39">
        <v>26.18</v>
      </c>
      <c r="F45" s="400">
        <v>3131</v>
      </c>
      <c r="G45" s="392">
        <f t="shared" si="27"/>
        <v>81969.58</v>
      </c>
      <c r="H45" s="48" t="s">
        <v>126</v>
      </c>
      <c r="I45" s="398">
        <v>20</v>
      </c>
      <c r="J45" s="43">
        <v>2400</v>
      </c>
      <c r="K45" s="18">
        <f t="shared" si="1"/>
        <v>120</v>
      </c>
      <c r="L45" s="398">
        <v>20</v>
      </c>
      <c r="M45" s="19">
        <f t="shared" si="28"/>
        <v>2290.9756097560971</v>
      </c>
      <c r="N45" s="18">
        <f t="shared" si="3"/>
        <v>114.54878048780486</v>
      </c>
      <c r="O45" s="20">
        <f t="shared" si="4"/>
        <v>0</v>
      </c>
      <c r="P45" s="21">
        <f t="shared" si="5"/>
        <v>-5.4512195121951379</v>
      </c>
      <c r="Q45" s="391">
        <f t="shared" si="6"/>
        <v>0.95457317073170722</v>
      </c>
      <c r="R45" s="573"/>
      <c r="S45" s="49">
        <v>0.72013888888888877</v>
      </c>
      <c r="T45" s="49">
        <v>0.77708333333333324</v>
      </c>
      <c r="U45" s="392">
        <f t="shared" si="30"/>
        <v>6.9999999999999751</v>
      </c>
      <c r="V45" s="399">
        <f t="shared" si="29"/>
        <v>82.000000000000028</v>
      </c>
      <c r="W45" s="25"/>
      <c r="X45" s="25"/>
      <c r="Y45" s="28"/>
      <c r="Z45" s="28"/>
      <c r="AA45" s="396"/>
      <c r="AB45" s="397"/>
      <c r="AC45" s="50"/>
      <c r="AD45" s="27"/>
      <c r="AE45" s="20">
        <f t="shared" si="8"/>
        <v>-109.02439024390287</v>
      </c>
      <c r="AF45" s="391">
        <f t="shared" si="9"/>
        <v>0.95457317073170711</v>
      </c>
      <c r="AG45" s="573"/>
    </row>
    <row r="46" spans="1:33">
      <c r="A46" s="593" t="s">
        <v>2456</v>
      </c>
      <c r="B46" s="42" t="s">
        <v>2451</v>
      </c>
      <c r="C46" s="576"/>
      <c r="D46" s="576"/>
      <c r="E46" s="393"/>
      <c r="F46" s="42"/>
      <c r="G46" s="18"/>
      <c r="H46" s="400"/>
      <c r="I46" s="32">
        <v>17.111111111111111</v>
      </c>
      <c r="J46" s="43">
        <v>2222.2222222222222</v>
      </c>
      <c r="K46" s="18">
        <f t="shared" si="1"/>
        <v>129.87012987012986</v>
      </c>
      <c r="L46" s="32">
        <v>17.111111111111111</v>
      </c>
      <c r="M46" s="19">
        <f>AVERAGE(M37:M45)</f>
        <v>2125.4935938719937</v>
      </c>
      <c r="N46" s="18">
        <f t="shared" si="3"/>
        <v>124.2171580834282</v>
      </c>
      <c r="O46" s="20">
        <f t="shared" si="4"/>
        <v>0</v>
      </c>
      <c r="P46" s="21">
        <f t="shared" si="5"/>
        <v>-5.6529717867016558</v>
      </c>
      <c r="Q46" s="391">
        <f t="shared" si="6"/>
        <v>0.95647211724239722</v>
      </c>
      <c r="R46" s="573"/>
      <c r="S46" s="49"/>
      <c r="T46" s="49"/>
      <c r="U46" s="18"/>
      <c r="V46" s="399"/>
      <c r="W46" s="18"/>
      <c r="X46" s="18"/>
      <c r="Y46" s="33">
        <f>SUM(Y37:Y45)</f>
        <v>0</v>
      </c>
      <c r="Z46" s="33">
        <f>SUM(Z37:Z45)</f>
        <v>0</v>
      </c>
      <c r="AA46" s="572"/>
      <c r="AB46" s="572"/>
      <c r="AC46" s="33">
        <v>9</v>
      </c>
      <c r="AD46" s="33">
        <f>SUM(AD37:AD45)</f>
        <v>0</v>
      </c>
      <c r="AE46" s="20">
        <f t="shared" si="8"/>
        <v>-96.728628350228519</v>
      </c>
      <c r="AF46" s="391">
        <f t="shared" si="9"/>
        <v>0.95647211724239711</v>
      </c>
      <c r="AG46" s="573"/>
    </row>
    <row r="47" spans="1:33" ht="15.75" customHeight="1">
      <c r="A47" s="589" t="s">
        <v>2457</v>
      </c>
      <c r="B47" s="39" t="s">
        <v>104</v>
      </c>
      <c r="C47" s="566" t="s">
        <v>105</v>
      </c>
      <c r="D47" s="567"/>
      <c r="E47" s="39">
        <v>37.880000000000003</v>
      </c>
      <c r="F47" s="400">
        <v>1772</v>
      </c>
      <c r="G47" s="392">
        <f t="shared" ref="G47:G50" si="31">E47*F47</f>
        <v>67123.360000000001</v>
      </c>
      <c r="H47" s="48" t="s">
        <v>126</v>
      </c>
      <c r="I47" s="398">
        <v>13</v>
      </c>
      <c r="J47" s="43">
        <v>2000</v>
      </c>
      <c r="K47" s="18">
        <f t="shared" si="1"/>
        <v>153.84615384615384</v>
      </c>
      <c r="L47" s="398">
        <v>13</v>
      </c>
      <c r="M47" s="19">
        <f t="shared" ref="M47:M50" si="32">F47/V47*60</f>
        <v>1933.0909090909095</v>
      </c>
      <c r="N47" s="19">
        <f t="shared" si="3"/>
        <v>148.69930069930072</v>
      </c>
      <c r="O47" s="20">
        <f t="shared" si="4"/>
        <v>0</v>
      </c>
      <c r="P47" s="21">
        <f t="shared" si="5"/>
        <v>-5.1468531468531182</v>
      </c>
      <c r="Q47" s="391">
        <f t="shared" si="6"/>
        <v>0.96654545454545471</v>
      </c>
      <c r="R47" s="584">
        <f>Q51</f>
        <v>0.9574708700310316</v>
      </c>
      <c r="S47" s="49">
        <v>8.3333333333333329E-2</v>
      </c>
      <c r="T47" s="49">
        <v>0.12152777777777776</v>
      </c>
      <c r="U47" s="30"/>
      <c r="V47" s="399">
        <f t="shared" ref="V47:V50" si="33">(T47-S47)*24*60</f>
        <v>54.999999999999986</v>
      </c>
      <c r="W47" s="25">
        <f>T47</f>
        <v>0.12152777777777776</v>
      </c>
      <c r="X47" s="25">
        <f>S48</f>
        <v>0.1423611111111111</v>
      </c>
      <c r="Y47" s="28"/>
      <c r="Z47" s="28"/>
      <c r="AA47" s="568"/>
      <c r="AB47" s="569"/>
      <c r="AC47" s="50">
        <v>4</v>
      </c>
      <c r="AD47" s="27"/>
      <c r="AE47" s="20">
        <f t="shared" si="8"/>
        <v>-66.909090909090537</v>
      </c>
      <c r="AF47" s="391">
        <f t="shared" si="9"/>
        <v>0.96654545454545471</v>
      </c>
      <c r="AG47" s="584">
        <f>AF51</f>
        <v>0.9574708700310316</v>
      </c>
    </row>
    <row r="48" spans="1:33" ht="15.75" customHeight="1">
      <c r="A48" s="590" t="s">
        <v>61</v>
      </c>
      <c r="B48" s="39" t="s">
        <v>104</v>
      </c>
      <c r="C48" s="566" t="s">
        <v>106</v>
      </c>
      <c r="D48" s="567"/>
      <c r="E48" s="39">
        <v>35.119999999999997</v>
      </c>
      <c r="F48" s="400">
        <v>5462</v>
      </c>
      <c r="G48" s="392">
        <f t="shared" si="31"/>
        <v>191825.43999999997</v>
      </c>
      <c r="H48" s="48" t="s">
        <v>126</v>
      </c>
      <c r="I48" s="398">
        <v>10</v>
      </c>
      <c r="J48" s="43">
        <v>3000</v>
      </c>
      <c r="K48" s="18">
        <f t="shared" si="1"/>
        <v>300</v>
      </c>
      <c r="L48" s="398">
        <v>10</v>
      </c>
      <c r="M48" s="19">
        <f t="shared" si="32"/>
        <v>2874.7368421052629</v>
      </c>
      <c r="N48" s="19">
        <f t="shared" si="3"/>
        <v>287.4736842105263</v>
      </c>
      <c r="O48" s="20">
        <f t="shared" si="4"/>
        <v>0</v>
      </c>
      <c r="P48" s="21">
        <f t="shared" si="5"/>
        <v>-12.526315789473699</v>
      </c>
      <c r="Q48" s="391">
        <f t="shared" si="6"/>
        <v>0.95824561403508768</v>
      </c>
      <c r="R48" s="585"/>
      <c r="S48" s="49">
        <v>0.1423611111111111</v>
      </c>
      <c r="T48" s="49">
        <v>0.22152777777777777</v>
      </c>
      <c r="U48" s="392">
        <f t="shared" ref="U48:U50" si="34">(S48-T47)*24*60</f>
        <v>30.000000000000014</v>
      </c>
      <c r="V48" s="399">
        <f t="shared" si="33"/>
        <v>114</v>
      </c>
      <c r="W48" s="25"/>
      <c r="X48" s="25"/>
      <c r="Y48" s="28"/>
      <c r="Z48" s="28"/>
      <c r="AA48" s="568"/>
      <c r="AB48" s="569"/>
      <c r="AC48" s="50"/>
      <c r="AD48" s="27"/>
      <c r="AE48" s="20">
        <f t="shared" si="8"/>
        <v>-125.26315789473711</v>
      </c>
      <c r="AF48" s="391">
        <f t="shared" si="9"/>
        <v>0.95824561403508768</v>
      </c>
      <c r="AG48" s="585"/>
    </row>
    <row r="49" spans="1:33" ht="15.75" customHeight="1">
      <c r="A49" s="590" t="s">
        <v>61</v>
      </c>
      <c r="B49" s="39" t="s">
        <v>104</v>
      </c>
      <c r="C49" s="566" t="s">
        <v>107</v>
      </c>
      <c r="D49" s="567"/>
      <c r="E49" s="39">
        <v>21.13</v>
      </c>
      <c r="F49" s="400">
        <v>5454</v>
      </c>
      <c r="G49" s="392">
        <f t="shared" si="31"/>
        <v>115243.01999999999</v>
      </c>
      <c r="H49" s="48" t="s">
        <v>126</v>
      </c>
      <c r="I49" s="398">
        <v>10</v>
      </c>
      <c r="J49" s="43">
        <v>3000</v>
      </c>
      <c r="K49" s="18">
        <f t="shared" si="1"/>
        <v>300</v>
      </c>
      <c r="L49" s="398">
        <v>10</v>
      </c>
      <c r="M49" s="19">
        <f t="shared" si="32"/>
        <v>2870.5263157894728</v>
      </c>
      <c r="N49" s="19">
        <f t="shared" si="3"/>
        <v>287.05263157894728</v>
      </c>
      <c r="O49" s="20">
        <f t="shared" si="4"/>
        <v>0</v>
      </c>
      <c r="P49" s="21">
        <f t="shared" si="5"/>
        <v>-12.947368421052715</v>
      </c>
      <c r="Q49" s="391">
        <f t="shared" si="6"/>
        <v>0.95684210526315761</v>
      </c>
      <c r="R49" s="585"/>
      <c r="S49" s="49">
        <v>0.22569444444444445</v>
      </c>
      <c r="T49" s="49">
        <v>0.30486111111111114</v>
      </c>
      <c r="U49" s="392">
        <f t="shared" si="34"/>
        <v>6.0000000000000187</v>
      </c>
      <c r="V49" s="399">
        <f t="shared" si="33"/>
        <v>114.00000000000003</v>
      </c>
      <c r="W49" s="25"/>
      <c r="X49" s="25"/>
      <c r="Y49" s="28"/>
      <c r="Z49" s="28"/>
      <c r="AA49" s="568"/>
      <c r="AB49" s="569"/>
      <c r="AC49" s="50"/>
      <c r="AD49" s="27"/>
      <c r="AE49" s="20">
        <f t="shared" si="8"/>
        <v>-129.47368421052715</v>
      </c>
      <c r="AF49" s="391">
        <f t="shared" si="9"/>
        <v>0.95684210526315761</v>
      </c>
      <c r="AG49" s="585"/>
    </row>
    <row r="50" spans="1:33" ht="15.75" customHeight="1">
      <c r="A50" s="590" t="s">
        <v>2458</v>
      </c>
      <c r="B50" s="39" t="s">
        <v>104</v>
      </c>
      <c r="C50" s="566" t="s">
        <v>108</v>
      </c>
      <c r="D50" s="567"/>
      <c r="E50" s="39">
        <v>27.17</v>
      </c>
      <c r="F50" s="400">
        <v>7087</v>
      </c>
      <c r="G50" s="392">
        <f t="shared" si="31"/>
        <v>192553.79</v>
      </c>
      <c r="H50" s="48" t="s">
        <v>126</v>
      </c>
      <c r="I50" s="398">
        <v>10</v>
      </c>
      <c r="J50" s="43">
        <v>3000</v>
      </c>
      <c r="K50" s="18">
        <f t="shared" si="1"/>
        <v>300</v>
      </c>
      <c r="L50" s="398">
        <v>10</v>
      </c>
      <c r="M50" s="19">
        <f t="shared" si="32"/>
        <v>2853.8255033557043</v>
      </c>
      <c r="N50" s="19">
        <f t="shared" si="3"/>
        <v>285.38255033557044</v>
      </c>
      <c r="O50" s="20">
        <f t="shared" si="4"/>
        <v>0</v>
      </c>
      <c r="P50" s="21">
        <f t="shared" si="5"/>
        <v>-14.617449664429557</v>
      </c>
      <c r="Q50" s="391">
        <f t="shared" si="6"/>
        <v>0.9512751677852348</v>
      </c>
      <c r="R50" s="585"/>
      <c r="S50" s="49">
        <v>0.30902777777777779</v>
      </c>
      <c r="T50" s="49">
        <v>0.41250000000000003</v>
      </c>
      <c r="U50" s="392">
        <f t="shared" si="34"/>
        <v>5.9999999999999787</v>
      </c>
      <c r="V50" s="399">
        <f t="shared" si="33"/>
        <v>149.00000000000003</v>
      </c>
      <c r="W50" s="25"/>
      <c r="X50" s="25"/>
      <c r="Y50" s="28"/>
      <c r="Z50" s="28"/>
      <c r="AA50" s="568"/>
      <c r="AB50" s="569"/>
      <c r="AC50" s="50"/>
      <c r="AD50" s="27"/>
      <c r="AE50" s="20">
        <f t="shared" si="8"/>
        <v>-146.17449664429569</v>
      </c>
      <c r="AF50" s="391">
        <f t="shared" si="9"/>
        <v>0.9512751677852348</v>
      </c>
      <c r="AG50" s="585"/>
    </row>
    <row r="51" spans="1:33" ht="15.75" customHeight="1">
      <c r="A51" s="591" t="s">
        <v>61</v>
      </c>
      <c r="B51" s="39" t="s">
        <v>2451</v>
      </c>
      <c r="C51" s="570"/>
      <c r="D51" s="571"/>
      <c r="E51" s="389"/>
      <c r="F51" s="400"/>
      <c r="G51" s="392"/>
      <c r="H51" s="400"/>
      <c r="I51" s="32">
        <v>10.75</v>
      </c>
      <c r="J51" s="43">
        <v>2750</v>
      </c>
      <c r="K51" s="18">
        <f t="shared" si="1"/>
        <v>255.81395348837211</v>
      </c>
      <c r="L51" s="32">
        <v>10.75</v>
      </c>
      <c r="M51" s="19">
        <f>AVERAGE(M47:M50)</f>
        <v>2633.044892585337</v>
      </c>
      <c r="N51" s="18">
        <f t="shared" si="3"/>
        <v>244.93440861258949</v>
      </c>
      <c r="O51" s="20">
        <f t="shared" si="4"/>
        <v>0</v>
      </c>
      <c r="P51" s="21">
        <f t="shared" si="5"/>
        <v>-10.879544875782614</v>
      </c>
      <c r="Q51" s="391">
        <f t="shared" si="6"/>
        <v>0.9574708700310316</v>
      </c>
      <c r="R51" s="586"/>
      <c r="S51" s="49"/>
      <c r="T51" s="49"/>
      <c r="U51" s="392"/>
      <c r="V51" s="399"/>
      <c r="W51" s="25"/>
      <c r="X51" s="25"/>
      <c r="Y51" s="33">
        <f>SUM(Y47:Y50)</f>
        <v>0</v>
      </c>
      <c r="Z51" s="33">
        <f>SUM(Z47:Z50)</f>
        <v>0</v>
      </c>
      <c r="AA51" s="587"/>
      <c r="AB51" s="588"/>
      <c r="AC51" s="33">
        <v>4</v>
      </c>
      <c r="AD51" s="33">
        <f>SUM(AD47:AD50)</f>
        <v>0</v>
      </c>
      <c r="AE51" s="20">
        <f t="shared" si="8"/>
        <v>-116.95510741466296</v>
      </c>
      <c r="AF51" s="391">
        <f t="shared" si="9"/>
        <v>0.9574708700310316</v>
      </c>
      <c r="AG51" s="586"/>
    </row>
    <row r="52" spans="1:33" ht="15.75" customHeight="1">
      <c r="A52" s="582" t="s">
        <v>2459</v>
      </c>
      <c r="B52" s="39" t="s">
        <v>79</v>
      </c>
      <c r="C52" s="574" t="s">
        <v>109</v>
      </c>
      <c r="D52" s="574"/>
      <c r="E52" s="39">
        <v>46</v>
      </c>
      <c r="F52" s="45">
        <v>2375</v>
      </c>
      <c r="G52" s="392">
        <f t="shared" ref="G52:G58" si="35">E52*F52</f>
        <v>109250</v>
      </c>
      <c r="H52" s="48" t="s">
        <v>126</v>
      </c>
      <c r="I52" s="398">
        <v>16</v>
      </c>
      <c r="J52" s="43">
        <v>2000</v>
      </c>
      <c r="K52" s="18">
        <f t="shared" si="1"/>
        <v>125</v>
      </c>
      <c r="L52" s="398">
        <v>16</v>
      </c>
      <c r="M52" s="19">
        <f t="shared" ref="M52" si="36">F52/V52*60</f>
        <v>1925.6756756756754</v>
      </c>
      <c r="N52" s="19">
        <f t="shared" si="3"/>
        <v>120.35472972972971</v>
      </c>
      <c r="O52" s="20">
        <f t="shared" si="4"/>
        <v>0</v>
      </c>
      <c r="P52" s="21">
        <f t="shared" si="5"/>
        <v>-4.6452702702702879</v>
      </c>
      <c r="Q52" s="391">
        <f t="shared" si="6"/>
        <v>0.96283783783783772</v>
      </c>
      <c r="R52" s="573">
        <f>Q59</f>
        <v>0.96250980025362132</v>
      </c>
      <c r="S52" s="49">
        <v>0.20833333333333334</v>
      </c>
      <c r="T52" s="49">
        <v>0.25972222222222224</v>
      </c>
      <c r="U52" s="30"/>
      <c r="V52" s="399">
        <f t="shared" ref="V52:V58" si="37">(T52-S52)*24*60</f>
        <v>74.000000000000014</v>
      </c>
      <c r="W52" s="30"/>
      <c r="X52" s="30"/>
      <c r="Y52" s="30"/>
      <c r="Z52" s="30"/>
      <c r="AA52" s="575"/>
      <c r="AB52" s="575"/>
      <c r="AC52" s="50">
        <v>7</v>
      </c>
      <c r="AD52" s="27"/>
      <c r="AE52" s="20">
        <f t="shared" si="8"/>
        <v>-74.324324324324607</v>
      </c>
      <c r="AF52" s="391">
        <f t="shared" si="9"/>
        <v>0.96283783783783772</v>
      </c>
      <c r="AG52" s="573">
        <f>AF59</f>
        <v>0.96250980025362132</v>
      </c>
    </row>
    <row r="53" spans="1:33" ht="15.75" customHeight="1">
      <c r="A53" s="582" t="s">
        <v>63</v>
      </c>
      <c r="B53" s="39" t="s">
        <v>79</v>
      </c>
      <c r="C53" s="574" t="s">
        <v>1233</v>
      </c>
      <c r="D53" s="574"/>
      <c r="E53" s="39">
        <v>46</v>
      </c>
      <c r="F53" s="45">
        <v>4092</v>
      </c>
      <c r="G53" s="392">
        <f t="shared" si="35"/>
        <v>188232</v>
      </c>
      <c r="H53" s="48" t="s">
        <v>126</v>
      </c>
      <c r="I53" s="398">
        <v>16</v>
      </c>
      <c r="J53" s="43">
        <v>2000</v>
      </c>
      <c r="K53" s="18">
        <f t="shared" si="1"/>
        <v>125</v>
      </c>
      <c r="L53" s="398">
        <v>16</v>
      </c>
      <c r="M53" s="19">
        <f>F53/V53*60</f>
        <v>1903.2558139534879</v>
      </c>
      <c r="N53" s="19">
        <f t="shared" si="3"/>
        <v>118.95348837209299</v>
      </c>
      <c r="O53" s="20">
        <f t="shared" si="4"/>
        <v>0</v>
      </c>
      <c r="P53" s="21">
        <f t="shared" si="5"/>
        <v>-6.0465116279070088</v>
      </c>
      <c r="Q53" s="391">
        <f t="shared" si="6"/>
        <v>0.95162790697674393</v>
      </c>
      <c r="R53" s="573"/>
      <c r="S53" s="49">
        <v>0.2638888888888889</v>
      </c>
      <c r="T53" s="49">
        <v>0.35347222222222224</v>
      </c>
      <c r="U53" s="392">
        <f t="shared" ref="U53:U58" si="38">IF(S53=TIME(17,0,0),"",(S53-T52)*24*60)</f>
        <v>5.9999999999999787</v>
      </c>
      <c r="V53" s="399">
        <f t="shared" si="37"/>
        <v>129.00000000000003</v>
      </c>
      <c r="W53" s="25"/>
      <c r="X53" s="25"/>
      <c r="Y53" s="25"/>
      <c r="Z53" s="25"/>
      <c r="AA53" s="575"/>
      <c r="AB53" s="575"/>
      <c r="AC53" s="50"/>
      <c r="AD53" s="27"/>
      <c r="AE53" s="20">
        <f t="shared" si="8"/>
        <v>-96.744186046512141</v>
      </c>
      <c r="AF53" s="391">
        <f t="shared" si="9"/>
        <v>0.95162790697674393</v>
      </c>
      <c r="AG53" s="573"/>
    </row>
    <row r="54" spans="1:33" ht="15.75" customHeight="1">
      <c r="A54" s="582" t="s">
        <v>2459</v>
      </c>
      <c r="B54" s="39" t="s">
        <v>74</v>
      </c>
      <c r="C54" s="566" t="s">
        <v>111</v>
      </c>
      <c r="D54" s="567"/>
      <c r="E54" s="39">
        <v>51.75</v>
      </c>
      <c r="F54" s="45">
        <v>846</v>
      </c>
      <c r="G54" s="392">
        <f t="shared" si="35"/>
        <v>43780.5</v>
      </c>
      <c r="H54" s="48" t="s">
        <v>126</v>
      </c>
      <c r="I54" s="398">
        <v>25</v>
      </c>
      <c r="J54" s="43">
        <v>2000</v>
      </c>
      <c r="K54" s="18">
        <f t="shared" si="1"/>
        <v>80</v>
      </c>
      <c r="L54" s="398">
        <v>25</v>
      </c>
      <c r="M54" s="19">
        <f t="shared" ref="M54:M58" si="39">F54/V54*60</f>
        <v>1952.3076923076933</v>
      </c>
      <c r="N54" s="19">
        <f t="shared" si="3"/>
        <v>78.092307692307728</v>
      </c>
      <c r="O54" s="20">
        <f t="shared" si="4"/>
        <v>0</v>
      </c>
      <c r="P54" s="21">
        <f t="shared" si="5"/>
        <v>-1.9076923076922725</v>
      </c>
      <c r="Q54" s="391">
        <f t="shared" si="6"/>
        <v>0.97615384615384659</v>
      </c>
      <c r="R54" s="573"/>
      <c r="S54" s="49">
        <v>0.35902777777777778</v>
      </c>
      <c r="T54" s="49">
        <v>0.37708333333333333</v>
      </c>
      <c r="U54" s="392">
        <f t="shared" si="38"/>
        <v>7.9999999999999716</v>
      </c>
      <c r="V54" s="399">
        <f t="shared" si="37"/>
        <v>25.999999999999986</v>
      </c>
      <c r="W54" s="25"/>
      <c r="X54" s="25"/>
      <c r="Y54" s="28"/>
      <c r="Z54" s="28"/>
      <c r="AA54" s="575"/>
      <c r="AB54" s="575"/>
      <c r="AC54" s="50"/>
      <c r="AD54" s="27"/>
      <c r="AE54" s="20">
        <f t="shared" si="8"/>
        <v>-47.692307692306713</v>
      </c>
      <c r="AF54" s="391">
        <f t="shared" si="9"/>
        <v>0.97615384615384659</v>
      </c>
      <c r="AG54" s="573"/>
    </row>
    <row r="55" spans="1:33" ht="15.75" customHeight="1">
      <c r="A55" s="582" t="s">
        <v>63</v>
      </c>
      <c r="B55" s="39" t="s">
        <v>74</v>
      </c>
      <c r="C55" s="394" t="s">
        <v>110</v>
      </c>
      <c r="D55" s="395"/>
      <c r="E55" s="39">
        <v>56.43</v>
      </c>
      <c r="F55" s="45">
        <v>1655</v>
      </c>
      <c r="G55" s="392">
        <f t="shared" si="35"/>
        <v>93391.65</v>
      </c>
      <c r="H55" s="48" t="s">
        <v>126</v>
      </c>
      <c r="I55" s="398">
        <v>22</v>
      </c>
      <c r="J55" s="43">
        <v>2000</v>
      </c>
      <c r="K55" s="18">
        <f t="shared" si="1"/>
        <v>90.909090909090907</v>
      </c>
      <c r="L55" s="398">
        <v>22</v>
      </c>
      <c r="M55" s="19">
        <f t="shared" si="39"/>
        <v>1909.6153846153857</v>
      </c>
      <c r="N55" s="19">
        <f t="shared" si="3"/>
        <v>86.80069930069935</v>
      </c>
      <c r="O55" s="20">
        <f t="shared" si="4"/>
        <v>0</v>
      </c>
      <c r="P55" s="21">
        <f t="shared" si="5"/>
        <v>-4.1083916083915568</v>
      </c>
      <c r="Q55" s="391">
        <f t="shared" si="6"/>
        <v>0.95480769230769291</v>
      </c>
      <c r="R55" s="573"/>
      <c r="S55" s="49">
        <v>0.38194444444444442</v>
      </c>
      <c r="T55" s="49">
        <v>0.41805555555555551</v>
      </c>
      <c r="U55" s="392">
        <f t="shared" si="38"/>
        <v>6.9999999999999751</v>
      </c>
      <c r="V55" s="399">
        <f t="shared" si="37"/>
        <v>51.999999999999972</v>
      </c>
      <c r="W55" s="25"/>
      <c r="X55" s="25"/>
      <c r="Y55" s="28"/>
      <c r="Z55" s="28"/>
      <c r="AA55" s="575"/>
      <c r="AB55" s="575"/>
      <c r="AC55" s="50"/>
      <c r="AD55" s="27"/>
      <c r="AE55" s="20">
        <f t="shared" si="8"/>
        <v>-90.384615384614335</v>
      </c>
      <c r="AF55" s="391">
        <f t="shared" si="9"/>
        <v>0.9548076923076928</v>
      </c>
      <c r="AG55" s="573"/>
    </row>
    <row r="56" spans="1:33" ht="15.75" customHeight="1">
      <c r="A56" s="582" t="s">
        <v>63</v>
      </c>
      <c r="B56" s="39" t="s">
        <v>74</v>
      </c>
      <c r="C56" s="394" t="s">
        <v>88</v>
      </c>
      <c r="D56" s="395"/>
      <c r="E56" s="39">
        <v>59.04</v>
      </c>
      <c r="F56" s="45">
        <v>3785</v>
      </c>
      <c r="G56" s="392">
        <f t="shared" si="35"/>
        <v>223466.4</v>
      </c>
      <c r="H56" s="48" t="s">
        <v>126</v>
      </c>
      <c r="I56" s="398">
        <v>19</v>
      </c>
      <c r="J56" s="43">
        <v>2000</v>
      </c>
      <c r="K56" s="18">
        <f t="shared" si="1"/>
        <v>105.26315789473684</v>
      </c>
      <c r="L56" s="398">
        <v>19</v>
      </c>
      <c r="M56" s="19">
        <f t="shared" si="39"/>
        <v>1908.403361344537</v>
      </c>
      <c r="N56" s="19">
        <f t="shared" si="3"/>
        <v>100.44228217602826</v>
      </c>
      <c r="O56" s="20">
        <f t="shared" si="4"/>
        <v>0</v>
      </c>
      <c r="P56" s="21">
        <f t="shared" si="5"/>
        <v>-4.820875718708578</v>
      </c>
      <c r="Q56" s="391">
        <f t="shared" si="6"/>
        <v>0.95420168067226852</v>
      </c>
      <c r="R56" s="573"/>
      <c r="S56" s="49">
        <v>0.42291666666666661</v>
      </c>
      <c r="T56" s="49">
        <v>0.50555555555555554</v>
      </c>
      <c r="U56" s="392">
        <f t="shared" si="38"/>
        <v>6.9999999999999751</v>
      </c>
      <c r="V56" s="399">
        <f t="shared" si="37"/>
        <v>119.00000000000006</v>
      </c>
      <c r="W56" s="25"/>
      <c r="X56" s="25"/>
      <c r="Y56" s="28"/>
      <c r="Z56" s="28"/>
      <c r="AA56" s="575"/>
      <c r="AB56" s="575"/>
      <c r="AC56" s="50"/>
      <c r="AD56" s="27"/>
      <c r="AE56" s="20">
        <f t="shared" si="8"/>
        <v>-91.596638655463039</v>
      </c>
      <c r="AF56" s="391">
        <f t="shared" si="9"/>
        <v>0.95420168067226852</v>
      </c>
      <c r="AG56" s="573"/>
    </row>
    <row r="57" spans="1:33" ht="15.75" customHeight="1">
      <c r="A57" s="582" t="s">
        <v>63</v>
      </c>
      <c r="B57" s="39" t="s">
        <v>74</v>
      </c>
      <c r="C57" s="566" t="s">
        <v>113</v>
      </c>
      <c r="D57" s="567"/>
      <c r="E57" s="39">
        <v>55.56</v>
      </c>
      <c r="F57" s="45">
        <v>2282</v>
      </c>
      <c r="G57" s="392">
        <f t="shared" si="35"/>
        <v>126787.92</v>
      </c>
      <c r="H57" s="48" t="s">
        <v>126</v>
      </c>
      <c r="I57" s="398">
        <v>17</v>
      </c>
      <c r="J57" s="43">
        <v>2000</v>
      </c>
      <c r="K57" s="18">
        <f t="shared" si="1"/>
        <v>117.64705882352941</v>
      </c>
      <c r="L57" s="398">
        <v>17</v>
      </c>
      <c r="M57" s="19">
        <f t="shared" si="39"/>
        <v>1928.4507042253499</v>
      </c>
      <c r="N57" s="19">
        <f t="shared" si="3"/>
        <v>113.43827671913823</v>
      </c>
      <c r="O57" s="20">
        <f t="shared" si="4"/>
        <v>0</v>
      </c>
      <c r="P57" s="21">
        <f t="shared" si="5"/>
        <v>-4.2087821043911759</v>
      </c>
      <c r="Q57" s="391">
        <f t="shared" si="6"/>
        <v>0.96422535211267502</v>
      </c>
      <c r="R57" s="573"/>
      <c r="S57" s="49">
        <v>0.70833333333333337</v>
      </c>
      <c r="T57" s="49">
        <v>0.75763888888888897</v>
      </c>
      <c r="U57" s="392" t="str">
        <f t="shared" si="38"/>
        <v/>
      </c>
      <c r="V57" s="399">
        <f t="shared" si="37"/>
        <v>71.000000000000071</v>
      </c>
      <c r="W57" s="25"/>
      <c r="X57" s="25"/>
      <c r="Y57" s="28"/>
      <c r="Z57" s="28"/>
      <c r="AA57" s="568"/>
      <c r="AB57" s="569"/>
      <c r="AC57" s="50"/>
      <c r="AD57" s="27"/>
      <c r="AE57" s="20">
        <f t="shared" si="8"/>
        <v>-71.549295774650091</v>
      </c>
      <c r="AF57" s="391">
        <f t="shared" si="9"/>
        <v>0.9642253521126749</v>
      </c>
      <c r="AG57" s="573"/>
    </row>
    <row r="58" spans="1:33" ht="15.75" customHeight="1">
      <c r="A58" s="582" t="s">
        <v>2459</v>
      </c>
      <c r="B58" s="39" t="s">
        <v>74</v>
      </c>
      <c r="C58" s="566" t="s">
        <v>114</v>
      </c>
      <c r="D58" s="567"/>
      <c r="E58" s="39">
        <v>54.29</v>
      </c>
      <c r="F58" s="45">
        <v>1136</v>
      </c>
      <c r="G58" s="392">
        <f t="shared" si="35"/>
        <v>61673.440000000002</v>
      </c>
      <c r="H58" s="48" t="s">
        <v>126</v>
      </c>
      <c r="I58" s="398">
        <v>20</v>
      </c>
      <c r="J58" s="43">
        <v>2000</v>
      </c>
      <c r="K58" s="18">
        <f t="shared" si="1"/>
        <v>100</v>
      </c>
      <c r="L58" s="398">
        <v>20</v>
      </c>
      <c r="M58" s="19">
        <f t="shared" si="39"/>
        <v>1947.4285714285697</v>
      </c>
      <c r="N58" s="19">
        <f t="shared" si="3"/>
        <v>97.371428571428481</v>
      </c>
      <c r="O58" s="20">
        <f t="shared" si="4"/>
        <v>0</v>
      </c>
      <c r="P58" s="21">
        <f t="shared" si="5"/>
        <v>-2.6285714285715187</v>
      </c>
      <c r="Q58" s="391">
        <f t="shared" si="6"/>
        <v>0.97371428571428487</v>
      </c>
      <c r="R58" s="573"/>
      <c r="S58" s="49">
        <v>0.76111111111111118</v>
      </c>
      <c r="T58" s="49">
        <v>0.78541666666666676</v>
      </c>
      <c r="U58" s="392">
        <f t="shared" si="38"/>
        <v>4.9999999999999822</v>
      </c>
      <c r="V58" s="399">
        <f t="shared" si="37"/>
        <v>35.000000000000036</v>
      </c>
      <c r="W58" s="25"/>
      <c r="X58" s="25"/>
      <c r="Y58" s="28"/>
      <c r="Z58" s="28"/>
      <c r="AA58" s="568"/>
      <c r="AB58" s="569"/>
      <c r="AC58" s="50"/>
      <c r="AD58" s="27"/>
      <c r="AE58" s="20">
        <f t="shared" si="8"/>
        <v>-52.57142857143026</v>
      </c>
      <c r="AF58" s="391">
        <f t="shared" si="9"/>
        <v>0.97371428571428487</v>
      </c>
      <c r="AG58" s="573"/>
    </row>
    <row r="59" spans="1:33">
      <c r="A59" s="583" t="s">
        <v>63</v>
      </c>
      <c r="B59" s="39" t="s">
        <v>46</v>
      </c>
      <c r="C59" s="576"/>
      <c r="D59" s="576"/>
      <c r="E59" s="393"/>
      <c r="F59" s="42"/>
      <c r="G59" s="18"/>
      <c r="H59" s="400"/>
      <c r="I59" s="32">
        <v>19.285714285714285</v>
      </c>
      <c r="J59" s="43">
        <v>2000</v>
      </c>
      <c r="K59" s="18">
        <f t="shared" si="1"/>
        <v>103.70370370370371</v>
      </c>
      <c r="L59" s="32">
        <v>19.285714285714285</v>
      </c>
      <c r="M59" s="19">
        <f>AVERAGE(M52:M58)</f>
        <v>1925.0196005072426</v>
      </c>
      <c r="N59" s="18">
        <f t="shared" si="3"/>
        <v>99.815831137412587</v>
      </c>
      <c r="O59" s="20">
        <f t="shared" si="4"/>
        <v>0</v>
      </c>
      <c r="P59" s="21">
        <f t="shared" si="5"/>
        <v>-3.8878725662911222</v>
      </c>
      <c r="Q59" s="391">
        <f t="shared" si="6"/>
        <v>0.96250980025362132</v>
      </c>
      <c r="R59" s="573"/>
      <c r="S59" s="49"/>
      <c r="T59" s="49"/>
      <c r="U59" s="392"/>
      <c r="V59" s="399"/>
      <c r="W59" s="18"/>
      <c r="X59" s="18"/>
      <c r="Y59" s="33">
        <f>SUM(Y52:Y58)</f>
        <v>0</v>
      </c>
      <c r="Z59" s="33">
        <f>SUM(Z52:Z58)</f>
        <v>0</v>
      </c>
      <c r="AA59" s="572"/>
      <c r="AB59" s="572"/>
      <c r="AC59" s="33">
        <v>7</v>
      </c>
      <c r="AD59" s="33">
        <f>SUM(AD52:AD58)</f>
        <v>0</v>
      </c>
      <c r="AE59" s="20">
        <f>M59-J59</f>
        <v>-74.980399492757442</v>
      </c>
      <c r="AF59" s="391">
        <f t="shared" si="9"/>
        <v>0.96250980025362132</v>
      </c>
      <c r="AG59" s="573"/>
    </row>
    <row r="60" spans="1:33" ht="15.75" customHeight="1">
      <c r="A60" s="580" t="s">
        <v>2460</v>
      </c>
      <c r="B60" s="400" t="s">
        <v>104</v>
      </c>
      <c r="C60" s="574" t="s">
        <v>115</v>
      </c>
      <c r="D60" s="574"/>
      <c r="E60" s="39">
        <v>34.36</v>
      </c>
      <c r="F60" s="45">
        <v>2366</v>
      </c>
      <c r="G60" s="392">
        <f t="shared" ref="G60:G64" si="40">E60*F60</f>
        <v>81295.759999999995</v>
      </c>
      <c r="H60" s="48" t="s">
        <v>126</v>
      </c>
      <c r="I60" s="398">
        <v>10</v>
      </c>
      <c r="J60" s="43">
        <v>3000</v>
      </c>
      <c r="K60" s="18">
        <f t="shared" si="1"/>
        <v>300</v>
      </c>
      <c r="L60" s="398">
        <v>10</v>
      </c>
      <c r="M60" s="19">
        <f t="shared" ref="M60:M64" si="41">F60/V60*60</f>
        <v>2897.1428571428578</v>
      </c>
      <c r="N60" s="18">
        <f t="shared" si="3"/>
        <v>289.71428571428578</v>
      </c>
      <c r="O60" s="20">
        <f t="shared" si="4"/>
        <v>0</v>
      </c>
      <c r="P60" s="21">
        <f t="shared" si="5"/>
        <v>-10.285714285714221</v>
      </c>
      <c r="Q60" s="391">
        <f t="shared" si="6"/>
        <v>0.96571428571428597</v>
      </c>
      <c r="R60" s="573">
        <f>Q65</f>
        <v>0.96353342422865218</v>
      </c>
      <c r="S60" s="49">
        <v>0.20833333333333334</v>
      </c>
      <c r="T60" s="49">
        <v>0.24236111111111111</v>
      </c>
      <c r="U60" s="392"/>
      <c r="V60" s="399">
        <f t="shared" ref="V60:V64" si="42">(T60-S60)*24*60</f>
        <v>48.999999999999986</v>
      </c>
      <c r="W60" s="30"/>
      <c r="X60" s="30"/>
      <c r="Y60" s="30"/>
      <c r="Z60" s="30"/>
      <c r="AA60" s="575"/>
      <c r="AB60" s="575"/>
      <c r="AC60" s="50">
        <v>5</v>
      </c>
      <c r="AD60" s="27"/>
      <c r="AE60" s="20">
        <f t="shared" ref="AE60:AE74" si="43">M60-J60</f>
        <v>-102.85714285714221</v>
      </c>
      <c r="AF60" s="391">
        <f t="shared" si="9"/>
        <v>0.96571428571428597</v>
      </c>
      <c r="AG60" s="573">
        <f>AF65</f>
        <v>0.96353342422865218</v>
      </c>
    </row>
    <row r="61" spans="1:33" ht="15.75" customHeight="1">
      <c r="A61" s="580" t="s">
        <v>66</v>
      </c>
      <c r="B61" s="400" t="s">
        <v>104</v>
      </c>
      <c r="C61" s="574" t="s">
        <v>116</v>
      </c>
      <c r="D61" s="574"/>
      <c r="E61" s="39">
        <v>34.36</v>
      </c>
      <c r="F61" s="45">
        <v>1106</v>
      </c>
      <c r="G61" s="392">
        <f t="shared" si="40"/>
        <v>38002.159999999996</v>
      </c>
      <c r="H61" s="48" t="s">
        <v>126</v>
      </c>
      <c r="I61" s="398">
        <v>10</v>
      </c>
      <c r="J61" s="43">
        <v>3000</v>
      </c>
      <c r="K61" s="18">
        <f t="shared" si="1"/>
        <v>300</v>
      </c>
      <c r="L61" s="398">
        <v>10</v>
      </c>
      <c r="M61" s="19">
        <f t="shared" si="41"/>
        <v>2885.217391304348</v>
      </c>
      <c r="N61" s="18">
        <f t="shared" si="3"/>
        <v>288.52173913043481</v>
      </c>
      <c r="O61" s="20">
        <f t="shared" si="4"/>
        <v>0</v>
      </c>
      <c r="P61" s="21">
        <f t="shared" si="5"/>
        <v>-11.47826086956519</v>
      </c>
      <c r="Q61" s="391">
        <f t="shared" si="6"/>
        <v>0.96173913043478265</v>
      </c>
      <c r="R61" s="573"/>
      <c r="S61" s="49">
        <v>0.24652777777777779</v>
      </c>
      <c r="T61" s="49">
        <v>0.26250000000000001</v>
      </c>
      <c r="U61" s="392">
        <f t="shared" ref="U61:U64" si="44">(S61-T60)*24*60</f>
        <v>6.0000000000000187</v>
      </c>
      <c r="V61" s="399">
        <f t="shared" si="42"/>
        <v>23</v>
      </c>
      <c r="W61" s="392"/>
      <c r="X61" s="392"/>
      <c r="Y61" s="392"/>
      <c r="Z61" s="392"/>
      <c r="AA61" s="575"/>
      <c r="AB61" s="575"/>
      <c r="AC61" s="50"/>
      <c r="AD61" s="27"/>
      <c r="AE61" s="20">
        <f t="shared" si="43"/>
        <v>-114.78260869565202</v>
      </c>
      <c r="AF61" s="391">
        <f t="shared" si="9"/>
        <v>0.96173913043478265</v>
      </c>
      <c r="AG61" s="573"/>
    </row>
    <row r="62" spans="1:33" ht="15.75" customHeight="1">
      <c r="A62" s="580" t="s">
        <v>66</v>
      </c>
      <c r="B62" s="400" t="s">
        <v>104</v>
      </c>
      <c r="C62" s="574" t="s">
        <v>117</v>
      </c>
      <c r="D62" s="574"/>
      <c r="E62" s="39">
        <v>26.78</v>
      </c>
      <c r="F62" s="45">
        <v>2410</v>
      </c>
      <c r="G62" s="392">
        <f t="shared" si="40"/>
        <v>64539.8</v>
      </c>
      <c r="H62" s="48" t="s">
        <v>126</v>
      </c>
      <c r="I62" s="398">
        <v>10</v>
      </c>
      <c r="J62" s="43">
        <v>3000</v>
      </c>
      <c r="K62" s="18">
        <f t="shared" si="1"/>
        <v>300</v>
      </c>
      <c r="L62" s="398">
        <v>10</v>
      </c>
      <c r="M62" s="19">
        <f t="shared" si="41"/>
        <v>2892.0000000000009</v>
      </c>
      <c r="N62" s="18">
        <f t="shared" si="3"/>
        <v>289.2000000000001</v>
      </c>
      <c r="O62" s="20">
        <f t="shared" si="4"/>
        <v>0</v>
      </c>
      <c r="P62" s="21">
        <f t="shared" si="5"/>
        <v>-10.799999999999898</v>
      </c>
      <c r="Q62" s="391">
        <f t="shared" si="6"/>
        <v>0.9640000000000003</v>
      </c>
      <c r="R62" s="573"/>
      <c r="S62" s="49">
        <v>0.26805555555555555</v>
      </c>
      <c r="T62" s="49">
        <v>0.30277777777777776</v>
      </c>
      <c r="U62" s="392">
        <f t="shared" si="44"/>
        <v>7.9999999999999716</v>
      </c>
      <c r="V62" s="399">
        <f t="shared" si="42"/>
        <v>49.999999999999986</v>
      </c>
      <c r="W62" s="392"/>
      <c r="X62" s="392"/>
      <c r="Y62" s="392"/>
      <c r="Z62" s="392"/>
      <c r="AA62" s="575"/>
      <c r="AB62" s="575"/>
      <c r="AC62" s="50"/>
      <c r="AD62" s="27"/>
      <c r="AE62" s="20">
        <f t="shared" si="43"/>
        <v>-107.99999999999909</v>
      </c>
      <c r="AF62" s="391">
        <f t="shared" si="9"/>
        <v>0.9640000000000003</v>
      </c>
      <c r="AG62" s="573"/>
    </row>
    <row r="63" spans="1:33" ht="15.75" customHeight="1">
      <c r="A63" s="580" t="s">
        <v>66</v>
      </c>
      <c r="B63" s="400" t="s">
        <v>104</v>
      </c>
      <c r="C63" s="574" t="s">
        <v>119</v>
      </c>
      <c r="D63" s="574"/>
      <c r="E63" s="39">
        <v>35.869999999999997</v>
      </c>
      <c r="F63" s="45">
        <v>3940</v>
      </c>
      <c r="G63" s="392">
        <f t="shared" si="40"/>
        <v>141327.79999999999</v>
      </c>
      <c r="H63" s="48" t="s">
        <v>126</v>
      </c>
      <c r="I63" s="398">
        <v>9</v>
      </c>
      <c r="J63" s="43">
        <v>3000</v>
      </c>
      <c r="K63" s="18">
        <f t="shared" si="1"/>
        <v>333.33333333333331</v>
      </c>
      <c r="L63" s="398">
        <v>9</v>
      </c>
      <c r="M63" s="19">
        <f t="shared" si="41"/>
        <v>2882.9268292682918</v>
      </c>
      <c r="N63" s="18">
        <f t="shared" si="3"/>
        <v>320.32520325203245</v>
      </c>
      <c r="O63" s="20">
        <f t="shared" si="4"/>
        <v>0</v>
      </c>
      <c r="P63" s="21">
        <f t="shared" si="5"/>
        <v>-13.008130081300862</v>
      </c>
      <c r="Q63" s="391">
        <f t="shared" si="6"/>
        <v>0.96097560975609742</v>
      </c>
      <c r="R63" s="573"/>
      <c r="S63" s="49">
        <v>0.30763888888888885</v>
      </c>
      <c r="T63" s="49">
        <v>0.36458333333333331</v>
      </c>
      <c r="U63" s="392">
        <f t="shared" si="44"/>
        <v>6.9999999999999751</v>
      </c>
      <c r="V63" s="399">
        <f t="shared" si="42"/>
        <v>82.000000000000028</v>
      </c>
      <c r="W63" s="392"/>
      <c r="X63" s="392"/>
      <c r="Y63" s="392"/>
      <c r="Z63" s="392"/>
      <c r="AA63" s="575"/>
      <c r="AB63" s="575"/>
      <c r="AC63" s="50"/>
      <c r="AD63" s="27"/>
      <c r="AE63" s="20">
        <f t="shared" si="43"/>
        <v>-117.07317073170816</v>
      </c>
      <c r="AF63" s="391">
        <f t="shared" si="9"/>
        <v>0.9609756097560973</v>
      </c>
      <c r="AG63" s="573"/>
    </row>
    <row r="64" spans="1:33">
      <c r="A64" s="581" t="s">
        <v>66</v>
      </c>
      <c r="B64" s="400" t="s">
        <v>104</v>
      </c>
      <c r="C64" s="574" t="s">
        <v>120</v>
      </c>
      <c r="D64" s="574"/>
      <c r="E64" s="39">
        <v>34.35</v>
      </c>
      <c r="F64" s="45">
        <v>2027</v>
      </c>
      <c r="G64" s="392">
        <f t="shared" si="40"/>
        <v>69627.45</v>
      </c>
      <c r="H64" s="48" t="s">
        <v>126</v>
      </c>
      <c r="I64" s="398">
        <v>8</v>
      </c>
      <c r="J64" s="43">
        <v>3000</v>
      </c>
      <c r="K64" s="18">
        <f t="shared" si="1"/>
        <v>375</v>
      </c>
      <c r="L64" s="398">
        <v>8</v>
      </c>
      <c r="M64" s="19">
        <f t="shared" si="41"/>
        <v>2895.7142857142849</v>
      </c>
      <c r="N64" s="18">
        <f t="shared" si="3"/>
        <v>361.96428571428561</v>
      </c>
      <c r="O64" s="20">
        <f t="shared" si="4"/>
        <v>0</v>
      </c>
      <c r="P64" s="21">
        <f t="shared" si="5"/>
        <v>-13.035714285714391</v>
      </c>
      <c r="Q64" s="391">
        <f t="shared" si="6"/>
        <v>0.96523809523809501</v>
      </c>
      <c r="R64" s="573"/>
      <c r="S64" s="49">
        <v>0.36805555555555552</v>
      </c>
      <c r="T64" s="49">
        <v>0.3972222222222222</v>
      </c>
      <c r="U64" s="392">
        <f t="shared" si="44"/>
        <v>4.9999999999999822</v>
      </c>
      <c r="V64" s="399">
        <f t="shared" si="42"/>
        <v>42.000000000000014</v>
      </c>
      <c r="W64" s="25"/>
      <c r="X64" s="25"/>
      <c r="Y64" s="25"/>
      <c r="Z64" s="25"/>
      <c r="AA64" s="575"/>
      <c r="AB64" s="575"/>
      <c r="AC64" s="50"/>
      <c r="AD64" s="27"/>
      <c r="AE64" s="20">
        <f t="shared" si="43"/>
        <v>-104.28571428571513</v>
      </c>
      <c r="AF64" s="391">
        <f t="shared" si="9"/>
        <v>0.96523809523809501</v>
      </c>
      <c r="AG64" s="573"/>
    </row>
    <row r="65" spans="1:33">
      <c r="A65" s="581" t="s">
        <v>66</v>
      </c>
      <c r="B65" s="39" t="s">
        <v>46</v>
      </c>
      <c r="C65" s="576"/>
      <c r="D65" s="576"/>
      <c r="E65" s="393"/>
      <c r="F65" s="42"/>
      <c r="G65" s="18"/>
      <c r="H65" s="400"/>
      <c r="I65" s="32">
        <v>9.4</v>
      </c>
      <c r="J65" s="43">
        <v>3000</v>
      </c>
      <c r="K65" s="18">
        <f t="shared" si="1"/>
        <v>319.14893617021278</v>
      </c>
      <c r="L65" s="32">
        <v>9.4</v>
      </c>
      <c r="M65" s="19">
        <f>AVERAGE(M60:M64)</f>
        <v>2890.6002726859565</v>
      </c>
      <c r="N65" s="18">
        <f t="shared" si="3"/>
        <v>307.51066730701666</v>
      </c>
      <c r="O65" s="20">
        <f t="shared" si="4"/>
        <v>0</v>
      </c>
      <c r="P65" s="21">
        <f t="shared" si="5"/>
        <v>-11.638268863196117</v>
      </c>
      <c r="Q65" s="391">
        <f t="shared" si="6"/>
        <v>0.96353342422865218</v>
      </c>
      <c r="R65" s="573"/>
      <c r="S65" s="49"/>
      <c r="T65" s="49"/>
      <c r="U65" s="18"/>
      <c r="V65" s="399"/>
      <c r="W65" s="18"/>
      <c r="X65" s="18"/>
      <c r="Y65" s="33">
        <f>SUM(Y60:Y64)</f>
        <v>0</v>
      </c>
      <c r="Z65" s="33">
        <f>SUM(Z60:Z64)</f>
        <v>0</v>
      </c>
      <c r="AA65" s="572"/>
      <c r="AB65" s="572"/>
      <c r="AC65" s="33">
        <v>5</v>
      </c>
      <c r="AD65" s="33">
        <f>SUM(AD60:AD64)</f>
        <v>0</v>
      </c>
      <c r="AE65" s="20">
        <f t="shared" si="43"/>
        <v>-109.3997273140435</v>
      </c>
      <c r="AF65" s="391">
        <f t="shared" si="9"/>
        <v>0.96353342422865218</v>
      </c>
      <c r="AG65" s="573"/>
    </row>
    <row r="66" spans="1:33" ht="15.75" customHeight="1">
      <c r="A66" s="577" t="s">
        <v>71</v>
      </c>
      <c r="B66" s="400" t="s">
        <v>94</v>
      </c>
      <c r="C66" s="574" t="s">
        <v>124</v>
      </c>
      <c r="D66" s="574"/>
      <c r="E66" s="39">
        <v>22.69</v>
      </c>
      <c r="F66" s="400">
        <v>4521</v>
      </c>
      <c r="G66" s="392">
        <f t="shared" ref="G66:G73" si="45">E66*F66</f>
        <v>102581.49</v>
      </c>
      <c r="H66" s="48" t="s">
        <v>126</v>
      </c>
      <c r="I66" s="398">
        <v>15</v>
      </c>
      <c r="J66" s="43">
        <v>2400</v>
      </c>
      <c r="K66" s="18">
        <f t="shared" si="1"/>
        <v>160</v>
      </c>
      <c r="L66" s="398">
        <v>15</v>
      </c>
      <c r="M66" s="19">
        <f t="shared" ref="M66:M73" si="46">F66/V66*60</f>
        <v>2298.8135593220336</v>
      </c>
      <c r="N66" s="18">
        <f t="shared" si="3"/>
        <v>153.25423728813558</v>
      </c>
      <c r="O66" s="20">
        <f t="shared" si="4"/>
        <v>0</v>
      </c>
      <c r="P66" s="21">
        <f t="shared" si="5"/>
        <v>-6.7457627118644155</v>
      </c>
      <c r="Q66" s="391">
        <f t="shared" si="6"/>
        <v>0.95783898305084736</v>
      </c>
      <c r="R66" s="573">
        <f>Q74</f>
        <v>0.95662782303761273</v>
      </c>
      <c r="S66" s="49">
        <v>8.3333333333333329E-2</v>
      </c>
      <c r="T66" s="49">
        <v>0.16527777777777777</v>
      </c>
      <c r="U66" s="30"/>
      <c r="V66" s="399">
        <f t="shared" ref="V66:V73" si="47">(T66-S66)*24*60</f>
        <v>118</v>
      </c>
      <c r="W66" s="25">
        <f>T66</f>
        <v>0.16527777777777777</v>
      </c>
      <c r="X66" s="25">
        <f>S67</f>
        <v>0.18472222222222223</v>
      </c>
      <c r="Y66" s="25"/>
      <c r="Z66" s="25"/>
      <c r="AA66" s="575"/>
      <c r="AB66" s="575"/>
      <c r="AC66" s="50">
        <v>8</v>
      </c>
      <c r="AD66" s="27"/>
      <c r="AE66" s="20">
        <f t="shared" si="43"/>
        <v>-101.1864406779664</v>
      </c>
      <c r="AF66" s="391">
        <f t="shared" si="9"/>
        <v>0.95783898305084736</v>
      </c>
      <c r="AG66" s="573">
        <f>AF74</f>
        <v>0.95662782303761273</v>
      </c>
    </row>
    <row r="67" spans="1:33" ht="15.75" customHeight="1">
      <c r="A67" s="578" t="s">
        <v>2461</v>
      </c>
      <c r="B67" s="400" t="s">
        <v>94</v>
      </c>
      <c r="C67" s="574" t="s">
        <v>125</v>
      </c>
      <c r="D67" s="574"/>
      <c r="E67" s="39">
        <v>19.02</v>
      </c>
      <c r="F67" s="400">
        <v>4300</v>
      </c>
      <c r="G67" s="392">
        <f t="shared" si="45"/>
        <v>81786</v>
      </c>
      <c r="H67" s="48">
        <v>2</v>
      </c>
      <c r="I67" s="398">
        <v>14</v>
      </c>
      <c r="J67" s="43">
        <v>2400</v>
      </c>
      <c r="K67" s="18">
        <f t="shared" si="1"/>
        <v>171.42857142857142</v>
      </c>
      <c r="L67" s="398">
        <v>14</v>
      </c>
      <c r="M67" s="19">
        <f t="shared" si="46"/>
        <v>2283.1858407079644</v>
      </c>
      <c r="N67" s="18">
        <f t="shared" si="3"/>
        <v>163.08470290771174</v>
      </c>
      <c r="O67" s="20">
        <f t="shared" si="4"/>
        <v>0</v>
      </c>
      <c r="P67" s="21">
        <f t="shared" si="5"/>
        <v>-8.3438685208596723</v>
      </c>
      <c r="Q67" s="391">
        <f t="shared" si="6"/>
        <v>0.95132743362831862</v>
      </c>
      <c r="R67" s="573"/>
      <c r="S67" s="49">
        <v>0.18472222222222223</v>
      </c>
      <c r="T67" s="49">
        <v>0.26319444444444445</v>
      </c>
      <c r="U67" s="392">
        <f t="shared" ref="U67:U73" si="48">(S67-T66)*24*60</f>
        <v>28.000000000000021</v>
      </c>
      <c r="V67" s="399">
        <f t="shared" si="47"/>
        <v>113</v>
      </c>
      <c r="W67" s="25"/>
      <c r="X67" s="25"/>
      <c r="Y67" s="25"/>
      <c r="Z67" s="25"/>
      <c r="AA67" s="575"/>
      <c r="AB67" s="575"/>
      <c r="AC67" s="50"/>
      <c r="AD67" s="27"/>
      <c r="AE67" s="20">
        <f t="shared" si="43"/>
        <v>-116.81415929203558</v>
      </c>
      <c r="AF67" s="391">
        <f t="shared" si="9"/>
        <v>0.95132743362831851</v>
      </c>
      <c r="AG67" s="573"/>
    </row>
    <row r="68" spans="1:33" ht="15.75" customHeight="1">
      <c r="A68" s="578" t="s">
        <v>2461</v>
      </c>
      <c r="B68" s="400" t="s">
        <v>94</v>
      </c>
      <c r="C68" s="574" t="s">
        <v>99</v>
      </c>
      <c r="D68" s="574"/>
      <c r="E68" s="39">
        <v>20.36</v>
      </c>
      <c r="F68" s="400">
        <v>3100</v>
      </c>
      <c r="G68" s="392">
        <f t="shared" si="45"/>
        <v>63116</v>
      </c>
      <c r="H68" s="48">
        <v>2</v>
      </c>
      <c r="I68" s="398">
        <v>17</v>
      </c>
      <c r="J68" s="43">
        <v>2400</v>
      </c>
      <c r="K68" s="18">
        <f t="shared" si="1"/>
        <v>141.1764705882353</v>
      </c>
      <c r="L68" s="398">
        <v>17</v>
      </c>
      <c r="M68" s="19">
        <f t="shared" si="46"/>
        <v>2296.2962962962956</v>
      </c>
      <c r="N68" s="18">
        <f t="shared" si="3"/>
        <v>135.07625272331151</v>
      </c>
      <c r="O68" s="20">
        <f t="shared" si="4"/>
        <v>0</v>
      </c>
      <c r="P68" s="21">
        <f t="shared" si="5"/>
        <v>-6.1002178649237919</v>
      </c>
      <c r="Q68" s="391">
        <f t="shared" si="6"/>
        <v>0.95679012345678982</v>
      </c>
      <c r="R68" s="573"/>
      <c r="S68" s="49">
        <v>0.26805555555555555</v>
      </c>
      <c r="T68" s="49">
        <v>0.32430555555555557</v>
      </c>
      <c r="U68" s="392">
        <f t="shared" si="48"/>
        <v>6.9999999999999751</v>
      </c>
      <c r="V68" s="399">
        <f t="shared" si="47"/>
        <v>81.000000000000028</v>
      </c>
      <c r="W68" s="25"/>
      <c r="X68" s="25"/>
      <c r="Y68" s="25"/>
      <c r="Z68" s="25"/>
      <c r="AA68" s="575"/>
      <c r="AB68" s="575"/>
      <c r="AC68" s="50"/>
      <c r="AD68" s="27"/>
      <c r="AE68" s="20">
        <f t="shared" si="43"/>
        <v>-103.70370370370438</v>
      </c>
      <c r="AF68" s="391">
        <f t="shared" si="9"/>
        <v>0.95679012345678982</v>
      </c>
      <c r="AG68" s="573"/>
    </row>
    <row r="69" spans="1:33" ht="15.75" customHeight="1">
      <c r="A69" s="578" t="s">
        <v>2461</v>
      </c>
      <c r="B69" s="400" t="s">
        <v>94</v>
      </c>
      <c r="C69" s="574" t="s">
        <v>123</v>
      </c>
      <c r="D69" s="574"/>
      <c r="E69" s="39">
        <v>20.21</v>
      </c>
      <c r="F69" s="400">
        <v>3485</v>
      </c>
      <c r="G69" s="392">
        <f t="shared" si="45"/>
        <v>70431.850000000006</v>
      </c>
      <c r="H69" s="48" t="s">
        <v>126</v>
      </c>
      <c r="I69" s="398">
        <v>15</v>
      </c>
      <c r="J69" s="43">
        <v>2400</v>
      </c>
      <c r="K69" s="18">
        <f t="shared" ref="K69:K74" si="49">J69/I69</f>
        <v>160</v>
      </c>
      <c r="L69" s="398">
        <v>15</v>
      </c>
      <c r="M69" s="19">
        <f t="shared" si="46"/>
        <v>2297.802197802198</v>
      </c>
      <c r="N69" s="18">
        <f t="shared" ref="N69:N74" si="50">M69/L69</f>
        <v>153.1868131868132</v>
      </c>
      <c r="O69" s="20">
        <f t="shared" ref="O69:O74" si="51">L69-I69</f>
        <v>0</v>
      </c>
      <c r="P69" s="21">
        <f t="shared" ref="P69:P74" si="52">N69-K69</f>
        <v>-6.8131868131868032</v>
      </c>
      <c r="Q69" s="391">
        <f t="shared" ref="Q69:Q74" si="53">N69/K69</f>
        <v>0.95741758241758246</v>
      </c>
      <c r="R69" s="573"/>
      <c r="S69" s="49">
        <v>0.3298611111111111</v>
      </c>
      <c r="T69" s="49">
        <v>0.39305555555555555</v>
      </c>
      <c r="U69" s="392">
        <f t="shared" si="48"/>
        <v>7.9999999999999716</v>
      </c>
      <c r="V69" s="399">
        <f t="shared" si="47"/>
        <v>91</v>
      </c>
      <c r="W69" s="25"/>
      <c r="X69" s="25"/>
      <c r="Y69" s="25"/>
      <c r="Z69" s="25"/>
      <c r="AA69" s="575"/>
      <c r="AB69" s="575"/>
      <c r="AC69" s="50"/>
      <c r="AD69" s="27"/>
      <c r="AE69" s="20">
        <f t="shared" si="43"/>
        <v>-102.19780219780205</v>
      </c>
      <c r="AF69" s="391">
        <f t="shared" ref="AF69:AF74" si="54">M69/J69</f>
        <v>0.95741758241758246</v>
      </c>
      <c r="AG69" s="573"/>
    </row>
    <row r="70" spans="1:33" ht="15.75" customHeight="1">
      <c r="A70" s="578" t="s">
        <v>2461</v>
      </c>
      <c r="B70" s="400" t="s">
        <v>94</v>
      </c>
      <c r="C70" s="574" t="s">
        <v>1954</v>
      </c>
      <c r="D70" s="574"/>
      <c r="E70" s="39">
        <v>20.21</v>
      </c>
      <c r="F70" s="400">
        <v>4900</v>
      </c>
      <c r="G70" s="392">
        <f t="shared" si="45"/>
        <v>99029</v>
      </c>
      <c r="H70" s="48">
        <v>2</v>
      </c>
      <c r="I70" s="398">
        <v>18</v>
      </c>
      <c r="J70" s="43">
        <v>2400</v>
      </c>
      <c r="K70" s="18">
        <f t="shared" si="49"/>
        <v>133.33333333333334</v>
      </c>
      <c r="L70" s="398">
        <v>18</v>
      </c>
      <c r="M70" s="19">
        <f t="shared" si="46"/>
        <v>2296.8749999999995</v>
      </c>
      <c r="N70" s="18">
        <f t="shared" si="50"/>
        <v>127.60416666666664</v>
      </c>
      <c r="O70" s="20">
        <f t="shared" si="51"/>
        <v>0</v>
      </c>
      <c r="P70" s="21">
        <f t="shared" si="52"/>
        <v>-5.7291666666666998</v>
      </c>
      <c r="Q70" s="391">
        <f t="shared" si="53"/>
        <v>0.95703124999999978</v>
      </c>
      <c r="R70" s="573"/>
      <c r="S70" s="49">
        <v>0.3972222222222222</v>
      </c>
      <c r="T70" s="49">
        <v>0.4861111111111111</v>
      </c>
      <c r="U70" s="392">
        <f t="shared" si="48"/>
        <v>5.9999999999999787</v>
      </c>
      <c r="V70" s="399">
        <f t="shared" si="47"/>
        <v>128.00000000000003</v>
      </c>
      <c r="W70" s="25">
        <f>T70</f>
        <v>0.4861111111111111</v>
      </c>
      <c r="X70" s="25">
        <f>S71</f>
        <v>0.5263888888888888</v>
      </c>
      <c r="Y70" s="25"/>
      <c r="Z70" s="25"/>
      <c r="AA70" s="575"/>
      <c r="AB70" s="575"/>
      <c r="AC70" s="50"/>
      <c r="AD70" s="27"/>
      <c r="AE70" s="20">
        <f t="shared" si="43"/>
        <v>-103.12500000000045</v>
      </c>
      <c r="AF70" s="391">
        <f t="shared" si="54"/>
        <v>0.95703124999999978</v>
      </c>
      <c r="AG70" s="573"/>
    </row>
    <row r="71" spans="1:33" ht="15.75" customHeight="1">
      <c r="A71" s="578" t="s">
        <v>2462</v>
      </c>
      <c r="B71" s="400" t="s">
        <v>94</v>
      </c>
      <c r="C71" s="574" t="s">
        <v>125</v>
      </c>
      <c r="D71" s="574"/>
      <c r="E71" s="39">
        <v>19.02</v>
      </c>
      <c r="F71" s="400">
        <v>6830</v>
      </c>
      <c r="G71" s="392">
        <f t="shared" si="45"/>
        <v>129906.59999999999</v>
      </c>
      <c r="H71" s="48" t="s">
        <v>126</v>
      </c>
      <c r="I71" s="398">
        <v>14</v>
      </c>
      <c r="J71" s="43">
        <v>2400</v>
      </c>
      <c r="K71" s="18">
        <f t="shared" si="49"/>
        <v>171.42857142857142</v>
      </c>
      <c r="L71" s="398">
        <v>14</v>
      </c>
      <c r="M71" s="19">
        <f t="shared" si="46"/>
        <v>2289.3854748603353</v>
      </c>
      <c r="N71" s="18">
        <f t="shared" si="50"/>
        <v>163.52753391859537</v>
      </c>
      <c r="O71" s="20">
        <f t="shared" si="51"/>
        <v>0</v>
      </c>
      <c r="P71" s="21">
        <f t="shared" si="52"/>
        <v>-7.9010375099760495</v>
      </c>
      <c r="Q71" s="391">
        <f t="shared" si="53"/>
        <v>0.9539106145251397</v>
      </c>
      <c r="R71" s="573"/>
      <c r="S71" s="49">
        <v>0.5263888888888888</v>
      </c>
      <c r="T71" s="49">
        <v>0.65069444444444435</v>
      </c>
      <c r="U71" s="392">
        <f t="shared" si="48"/>
        <v>57.999999999999872</v>
      </c>
      <c r="V71" s="399">
        <f t="shared" si="47"/>
        <v>179</v>
      </c>
      <c r="W71" s="25"/>
      <c r="X71" s="25"/>
      <c r="Y71" s="25"/>
      <c r="Z71" s="25"/>
      <c r="AA71" s="575"/>
      <c r="AB71" s="575"/>
      <c r="AC71" s="50"/>
      <c r="AD71" s="27"/>
      <c r="AE71" s="20">
        <f t="shared" si="43"/>
        <v>-110.61452513966469</v>
      </c>
      <c r="AF71" s="391">
        <f t="shared" si="54"/>
        <v>0.9539106145251397</v>
      </c>
      <c r="AG71" s="573"/>
    </row>
    <row r="72" spans="1:33" ht="15.75" customHeight="1">
      <c r="A72" s="578" t="s">
        <v>2463</v>
      </c>
      <c r="B72" s="400" t="s">
        <v>94</v>
      </c>
      <c r="C72" s="566" t="s">
        <v>1954</v>
      </c>
      <c r="D72" s="567"/>
      <c r="E72" s="39">
        <v>20.21</v>
      </c>
      <c r="F72" s="400">
        <v>3455</v>
      </c>
      <c r="G72" s="392">
        <f t="shared" si="45"/>
        <v>69825.55</v>
      </c>
      <c r="H72" s="48" t="s">
        <v>126</v>
      </c>
      <c r="I72" s="398">
        <v>18</v>
      </c>
      <c r="J72" s="43">
        <v>2400</v>
      </c>
      <c r="K72" s="18">
        <f t="shared" si="49"/>
        <v>133.33333333333334</v>
      </c>
      <c r="L72" s="398">
        <v>18</v>
      </c>
      <c r="M72" s="19">
        <f t="shared" si="46"/>
        <v>2303.333333333333</v>
      </c>
      <c r="N72" s="18">
        <f t="shared" si="50"/>
        <v>127.96296296296295</v>
      </c>
      <c r="O72" s="20">
        <f t="shared" si="51"/>
        <v>0</v>
      </c>
      <c r="P72" s="21">
        <f t="shared" si="52"/>
        <v>-5.3703703703703951</v>
      </c>
      <c r="Q72" s="391">
        <f t="shared" si="53"/>
        <v>0.95972222222222203</v>
      </c>
      <c r="R72" s="573"/>
      <c r="S72" s="49">
        <v>0.65555555555555545</v>
      </c>
      <c r="T72" s="49">
        <v>0.71805555555555545</v>
      </c>
      <c r="U72" s="392">
        <f t="shared" si="48"/>
        <v>6.9999999999999751</v>
      </c>
      <c r="V72" s="399">
        <f t="shared" si="47"/>
        <v>90</v>
      </c>
      <c r="W72" s="25"/>
      <c r="X72" s="25"/>
      <c r="Y72" s="28"/>
      <c r="Z72" s="28"/>
      <c r="AA72" s="568"/>
      <c r="AB72" s="569"/>
      <c r="AC72" s="50"/>
      <c r="AD72" s="27"/>
      <c r="AE72" s="20">
        <f t="shared" si="43"/>
        <v>-96.66666666666697</v>
      </c>
      <c r="AF72" s="391">
        <f t="shared" si="54"/>
        <v>0.95972222222222214</v>
      </c>
      <c r="AG72" s="573"/>
    </row>
    <row r="73" spans="1:33" ht="15.75" customHeight="1">
      <c r="A73" s="578" t="s">
        <v>2461</v>
      </c>
      <c r="B73" s="400" t="s">
        <v>94</v>
      </c>
      <c r="C73" s="566" t="s">
        <v>99</v>
      </c>
      <c r="D73" s="567"/>
      <c r="E73" s="39">
        <v>20.36</v>
      </c>
      <c r="F73" s="400">
        <v>2455</v>
      </c>
      <c r="G73" s="392">
        <f t="shared" si="45"/>
        <v>49983.799999999996</v>
      </c>
      <c r="H73" s="48" t="s">
        <v>126</v>
      </c>
      <c r="I73" s="398">
        <v>17</v>
      </c>
      <c r="J73" s="43">
        <v>2400</v>
      </c>
      <c r="K73" s="18">
        <f t="shared" si="49"/>
        <v>141.1764705882353</v>
      </c>
      <c r="L73" s="398">
        <v>17</v>
      </c>
      <c r="M73" s="19">
        <f t="shared" si="46"/>
        <v>2301.5625000000027</v>
      </c>
      <c r="N73" s="18">
        <f t="shared" si="50"/>
        <v>135.38602941176487</v>
      </c>
      <c r="O73" s="20">
        <f t="shared" si="51"/>
        <v>0</v>
      </c>
      <c r="P73" s="21">
        <f t="shared" si="52"/>
        <v>-5.7904411764704378</v>
      </c>
      <c r="Q73" s="391">
        <f t="shared" si="53"/>
        <v>0.95898437500000111</v>
      </c>
      <c r="R73" s="573"/>
      <c r="S73" s="49">
        <v>0.72152777777777766</v>
      </c>
      <c r="T73" s="49">
        <v>0.76597222222222205</v>
      </c>
      <c r="U73" s="392">
        <f t="shared" si="48"/>
        <v>4.9999999999999822</v>
      </c>
      <c r="V73" s="399">
        <f t="shared" si="47"/>
        <v>63.999999999999929</v>
      </c>
      <c r="W73" s="25"/>
      <c r="X73" s="25"/>
      <c r="Y73" s="28"/>
      <c r="Z73" s="28"/>
      <c r="AA73" s="568"/>
      <c r="AB73" s="569"/>
      <c r="AC73" s="50"/>
      <c r="AD73" s="27"/>
      <c r="AE73" s="20">
        <f t="shared" si="43"/>
        <v>-98.437499999997272</v>
      </c>
      <c r="AF73" s="391">
        <f t="shared" si="54"/>
        <v>0.95898437500000111</v>
      </c>
      <c r="AG73" s="573"/>
    </row>
    <row r="74" spans="1:33" ht="16.5" customHeight="1">
      <c r="A74" s="579" t="s">
        <v>71</v>
      </c>
      <c r="B74" s="39" t="s">
        <v>2451</v>
      </c>
      <c r="C74" s="570"/>
      <c r="D74" s="571"/>
      <c r="E74" s="393"/>
      <c r="F74" s="42"/>
      <c r="G74" s="18"/>
      <c r="H74" s="400"/>
      <c r="I74" s="32">
        <v>16</v>
      </c>
      <c r="J74" s="43">
        <v>2400</v>
      </c>
      <c r="K74" s="18">
        <f t="shared" si="49"/>
        <v>150</v>
      </c>
      <c r="L74" s="32">
        <v>16</v>
      </c>
      <c r="M74" s="19">
        <f>AVERAGE(M66:M73)</f>
        <v>2295.9067752902706</v>
      </c>
      <c r="N74" s="18">
        <f t="shared" si="50"/>
        <v>143.49417345564191</v>
      </c>
      <c r="O74" s="20">
        <f t="shared" si="51"/>
        <v>0</v>
      </c>
      <c r="P74" s="21">
        <f t="shared" si="52"/>
        <v>-6.5058265443580865</v>
      </c>
      <c r="Q74" s="391">
        <f t="shared" si="53"/>
        <v>0.95662782303761273</v>
      </c>
      <c r="R74" s="573"/>
      <c r="S74" s="49"/>
      <c r="T74" s="49"/>
      <c r="U74" s="18"/>
      <c r="V74" s="399"/>
      <c r="W74" s="18"/>
      <c r="X74" s="18"/>
      <c r="Y74" s="33">
        <f>SUM(Y66:Y73)</f>
        <v>0</v>
      </c>
      <c r="Z74" s="33">
        <f>SUM(Z66:Z73)</f>
        <v>0</v>
      </c>
      <c r="AA74" s="572"/>
      <c r="AB74" s="572"/>
      <c r="AC74" s="33">
        <v>8</v>
      </c>
      <c r="AD74" s="33">
        <f>SUM(AD66:AD73)</f>
        <v>0</v>
      </c>
      <c r="AE74" s="20">
        <f t="shared" si="43"/>
        <v>-104.09322470972938</v>
      </c>
      <c r="AF74" s="391">
        <f t="shared" si="54"/>
        <v>0.95662782303761273</v>
      </c>
      <c r="AG74" s="573"/>
    </row>
    <row r="75" spans="1:33">
      <c r="D75" s="35"/>
      <c r="E75" s="35"/>
      <c r="H75" s="124"/>
    </row>
  </sheetData>
  <mergeCells count="198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9:A14"/>
    <mergeCell ref="C9:D9"/>
    <mergeCell ref="R9:R14"/>
    <mergeCell ref="AA9:AB9"/>
    <mergeCell ref="AA14:AB14"/>
    <mergeCell ref="AG15:AG20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A19:AB19"/>
    <mergeCell ref="C20:D20"/>
    <mergeCell ref="AA20:AB20"/>
    <mergeCell ref="A21:A27"/>
    <mergeCell ref="C21:D21"/>
    <mergeCell ref="R21:R27"/>
    <mergeCell ref="AA21:AB21"/>
    <mergeCell ref="AA26:AB26"/>
    <mergeCell ref="A15:A20"/>
    <mergeCell ref="C15:D15"/>
    <mergeCell ref="R15:R20"/>
    <mergeCell ref="AA15:AB15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6:AB36"/>
    <mergeCell ref="A37:A46"/>
    <mergeCell ref="C37:D37"/>
    <mergeCell ref="R37:R46"/>
    <mergeCell ref="AA37:AB37"/>
    <mergeCell ref="C38:D38"/>
    <mergeCell ref="AA38:AB38"/>
    <mergeCell ref="C39:D39"/>
    <mergeCell ref="AA39:AB39"/>
    <mergeCell ref="A28:A36"/>
    <mergeCell ref="C28:D28"/>
    <mergeCell ref="R28:R36"/>
    <mergeCell ref="AA28:AB28"/>
    <mergeCell ref="AA33:AB33"/>
    <mergeCell ref="C34:D34"/>
    <mergeCell ref="AA34:AB34"/>
    <mergeCell ref="C36:D36"/>
    <mergeCell ref="AG47:AG51"/>
    <mergeCell ref="C48:D48"/>
    <mergeCell ref="AA48:AB48"/>
    <mergeCell ref="C49:D49"/>
    <mergeCell ref="AA49:AB49"/>
    <mergeCell ref="C50:D50"/>
    <mergeCell ref="C43:D43"/>
    <mergeCell ref="AA43:AB43"/>
    <mergeCell ref="C44:D44"/>
    <mergeCell ref="AA44:AB44"/>
    <mergeCell ref="C45:D45"/>
    <mergeCell ref="C46:D46"/>
    <mergeCell ref="AA46:AB46"/>
    <mergeCell ref="AG37:AG46"/>
    <mergeCell ref="AA50:AB50"/>
    <mergeCell ref="C51:D51"/>
    <mergeCell ref="AA51:AB51"/>
    <mergeCell ref="C40:D40"/>
    <mergeCell ref="AA40:AB40"/>
    <mergeCell ref="C41:D41"/>
    <mergeCell ref="AA41:AB41"/>
    <mergeCell ref="C42:D42"/>
    <mergeCell ref="AA42:AB42"/>
    <mergeCell ref="A52:A59"/>
    <mergeCell ref="C52:D52"/>
    <mergeCell ref="R52:R59"/>
    <mergeCell ref="AA52:AB52"/>
    <mergeCell ref="AA58:AB58"/>
    <mergeCell ref="C59:D59"/>
    <mergeCell ref="AA59:AB59"/>
    <mergeCell ref="A47:A51"/>
    <mergeCell ref="C47:D47"/>
    <mergeCell ref="R47:R51"/>
    <mergeCell ref="AA47:AB47"/>
    <mergeCell ref="AG60:AG65"/>
    <mergeCell ref="C61:D61"/>
    <mergeCell ref="AA61:AB61"/>
    <mergeCell ref="C62:D62"/>
    <mergeCell ref="AA62:AB62"/>
    <mergeCell ref="C63:D63"/>
    <mergeCell ref="AG52:AG59"/>
    <mergeCell ref="C53:D53"/>
    <mergeCell ref="AA53:AB53"/>
    <mergeCell ref="C54:D54"/>
    <mergeCell ref="AA54:AB54"/>
    <mergeCell ref="AA55:AB55"/>
    <mergeCell ref="AA56:AB56"/>
    <mergeCell ref="C57:D57"/>
    <mergeCell ref="AA57:AB57"/>
    <mergeCell ref="C58:D58"/>
    <mergeCell ref="AA63:AB63"/>
    <mergeCell ref="C64:D64"/>
    <mergeCell ref="AA64:AB64"/>
    <mergeCell ref="C65:D65"/>
    <mergeCell ref="AA65:AB65"/>
    <mergeCell ref="A66:A74"/>
    <mergeCell ref="C66:D66"/>
    <mergeCell ref="R66:R74"/>
    <mergeCell ref="AA66:AB66"/>
    <mergeCell ref="AA71:AB71"/>
    <mergeCell ref="A60:A65"/>
    <mergeCell ref="C60:D60"/>
    <mergeCell ref="R60:R65"/>
    <mergeCell ref="AA60:AB60"/>
    <mergeCell ref="C72:D72"/>
    <mergeCell ref="AA72:AB72"/>
    <mergeCell ref="C73:D73"/>
    <mergeCell ref="AA73:AB73"/>
    <mergeCell ref="C74:D74"/>
    <mergeCell ref="AA74:AB74"/>
    <mergeCell ref="AG66:AG74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</mergeCells>
  <phoneticPr fontId="3" type="noConversion"/>
  <conditionalFormatting sqref="O63:O71 O59:O60 O74 O5:O9 O14:O16 O20:O57">
    <cfRule type="cellIs" dxfId="1387" priority="53" operator="greaterThan">
      <formula>0</formula>
    </cfRule>
  </conditionalFormatting>
  <conditionalFormatting sqref="P5:P7 P63:P64 AE63:AE64 P66:P71 P28:P35 P60 P9 P14:P16 P21:P26 P52:P57 P37:P50 AE5:AE60 AE66:AE74">
    <cfRule type="cellIs" dxfId="1386" priority="57" operator="lessThan">
      <formula>0</formula>
    </cfRule>
  </conditionalFormatting>
  <conditionalFormatting sqref="AF63:AF64 Q63:Q71 Q59:Q60 Q74 Q5:Q9 Q14:Q16 Q20:Q57 AF5:AF60 AF66:AF74">
    <cfRule type="cellIs" dxfId="1385" priority="54" operator="greaterThan">
      <formula>1</formula>
    </cfRule>
    <cfRule type="cellIs" dxfId="1384" priority="55" operator="lessThan">
      <formula>0.8</formula>
    </cfRule>
  </conditionalFormatting>
  <conditionalFormatting sqref="AG15:AG16 R15:R16 AG63 R63:R71 AG59:AG60 R59:R60 R74 AG5:AG9 R5:R9 AG20:AG44 R20:R44 R46:R57 AG46:AG57">
    <cfRule type="cellIs" dxfId="1383" priority="59" operator="lessThan">
      <formula>0.8</formula>
    </cfRule>
  </conditionalFormatting>
  <conditionalFormatting sqref="AG47">
    <cfRule type="cellIs" dxfId="1382" priority="61" operator="lessThan">
      <formula>0.8</formula>
    </cfRule>
  </conditionalFormatting>
  <conditionalFormatting sqref="AG21:AG26">
    <cfRule type="cellIs" dxfId="1381" priority="58" operator="lessThan">
      <formula>0.8</formula>
    </cfRule>
  </conditionalFormatting>
  <conditionalFormatting sqref="AG28">
    <cfRule type="cellIs" dxfId="1380" priority="60" operator="lessThan">
      <formula>0.8</formula>
    </cfRule>
  </conditionalFormatting>
  <conditionalFormatting sqref="AG37:AG44">
    <cfRule type="cellIs" dxfId="1379" priority="56" operator="lessThan">
      <formula>0.8</formula>
    </cfRule>
  </conditionalFormatting>
  <conditionalFormatting sqref="AE65">
    <cfRule type="cellIs" dxfId="1378" priority="52" operator="lessThan">
      <formula>0</formula>
    </cfRule>
  </conditionalFormatting>
  <conditionalFormatting sqref="AF65">
    <cfRule type="cellIs" dxfId="1377" priority="50" operator="greaterThan">
      <formula>1</formula>
    </cfRule>
    <cfRule type="cellIs" dxfId="1376" priority="51" operator="lessThan">
      <formula>0.8</formula>
    </cfRule>
  </conditionalFormatting>
  <conditionalFormatting sqref="O17:O18">
    <cfRule type="cellIs" dxfId="1375" priority="45" operator="greaterThan">
      <formula>0</formula>
    </cfRule>
  </conditionalFormatting>
  <conditionalFormatting sqref="P17:P18">
    <cfRule type="cellIs" dxfId="1374" priority="48" operator="lessThan">
      <formula>0</formula>
    </cfRule>
  </conditionalFormatting>
  <conditionalFormatting sqref="Q17:Q18">
    <cfRule type="cellIs" dxfId="1373" priority="46" operator="greaterThan">
      <formula>1</formula>
    </cfRule>
    <cfRule type="cellIs" dxfId="1372" priority="47" operator="lessThan">
      <formula>0.8</formula>
    </cfRule>
  </conditionalFormatting>
  <conditionalFormatting sqref="R17:R18 AG17:AG18">
    <cfRule type="cellIs" dxfId="1371" priority="49" operator="lessThan">
      <formula>0.8</formula>
    </cfRule>
  </conditionalFormatting>
  <conditionalFormatting sqref="O10:O13">
    <cfRule type="cellIs" dxfId="1370" priority="41" operator="greaterThan">
      <formula>0</formula>
    </cfRule>
  </conditionalFormatting>
  <conditionalFormatting sqref="P10:P13">
    <cfRule type="cellIs" dxfId="1369" priority="44" operator="lessThan">
      <formula>0</formula>
    </cfRule>
  </conditionalFormatting>
  <conditionalFormatting sqref="Q10:Q13">
    <cfRule type="cellIs" dxfId="1368" priority="42" operator="greaterThan">
      <formula>1</formula>
    </cfRule>
    <cfRule type="cellIs" dxfId="1367" priority="43" operator="lessThan">
      <formula>0.8</formula>
    </cfRule>
  </conditionalFormatting>
  <conditionalFormatting sqref="O58">
    <cfRule type="cellIs" dxfId="1366" priority="36" operator="greaterThan">
      <formula>0</formula>
    </cfRule>
  </conditionalFormatting>
  <conditionalFormatting sqref="P58">
    <cfRule type="cellIs" dxfId="1365" priority="39" operator="lessThan">
      <formula>0</formula>
    </cfRule>
  </conditionalFormatting>
  <conditionalFormatting sqref="Q58">
    <cfRule type="cellIs" dxfId="1364" priority="37" operator="greaterThan">
      <formula>1</formula>
    </cfRule>
    <cfRule type="cellIs" dxfId="1363" priority="38" operator="lessThan">
      <formula>0.8</formula>
    </cfRule>
  </conditionalFormatting>
  <conditionalFormatting sqref="R58 AG58">
    <cfRule type="cellIs" dxfId="1362" priority="40" operator="lessThan">
      <formula>0.8</formula>
    </cfRule>
  </conditionalFormatting>
  <conditionalFormatting sqref="R45 AG45">
    <cfRule type="cellIs" dxfId="1361" priority="35" operator="lessThan">
      <formula>0.8</formula>
    </cfRule>
  </conditionalFormatting>
  <conditionalFormatting sqref="AG45">
    <cfRule type="cellIs" dxfId="1360" priority="34" operator="lessThan">
      <formula>0.8</formula>
    </cfRule>
  </conditionalFormatting>
  <conditionalFormatting sqref="O62">
    <cfRule type="cellIs" dxfId="1359" priority="29" operator="greaterThan">
      <formula>0</formula>
    </cfRule>
  </conditionalFormatting>
  <conditionalFormatting sqref="P62 AE62">
    <cfRule type="cellIs" dxfId="1358" priority="32" operator="lessThan">
      <formula>0</formula>
    </cfRule>
  </conditionalFormatting>
  <conditionalFormatting sqref="Q62 AF62">
    <cfRule type="cellIs" dxfId="1357" priority="30" operator="greaterThan">
      <formula>1</formula>
    </cfRule>
    <cfRule type="cellIs" dxfId="1356" priority="31" operator="lessThan">
      <formula>0.8</formula>
    </cfRule>
  </conditionalFormatting>
  <conditionalFormatting sqref="R62 AG62">
    <cfRule type="cellIs" dxfId="1355" priority="33" operator="lessThan">
      <formula>0.8</formula>
    </cfRule>
  </conditionalFormatting>
  <conditionalFormatting sqref="O72">
    <cfRule type="cellIs" dxfId="1354" priority="24" operator="greaterThan">
      <formula>0</formula>
    </cfRule>
  </conditionalFormatting>
  <conditionalFormatting sqref="P72">
    <cfRule type="cellIs" dxfId="1353" priority="27" operator="lessThan">
      <formula>0</formula>
    </cfRule>
  </conditionalFormatting>
  <conditionalFormatting sqref="Q72">
    <cfRule type="cellIs" dxfId="1352" priority="25" operator="greaterThan">
      <formula>1</formula>
    </cfRule>
    <cfRule type="cellIs" dxfId="1351" priority="26" operator="lessThan">
      <formula>0.8</formula>
    </cfRule>
  </conditionalFormatting>
  <conditionalFormatting sqref="R72">
    <cfRule type="cellIs" dxfId="1350" priority="28" operator="lessThan">
      <formula>0.8</formula>
    </cfRule>
  </conditionalFormatting>
  <conditionalFormatting sqref="O19">
    <cfRule type="cellIs" dxfId="1349" priority="19" operator="greaterThan">
      <formula>0</formula>
    </cfRule>
  </conditionalFormatting>
  <conditionalFormatting sqref="P19">
    <cfRule type="cellIs" dxfId="1348" priority="22" operator="lessThan">
      <formula>0</formula>
    </cfRule>
  </conditionalFormatting>
  <conditionalFormatting sqref="Q19">
    <cfRule type="cellIs" dxfId="1347" priority="20" operator="greaterThan">
      <formula>1</formula>
    </cfRule>
    <cfRule type="cellIs" dxfId="1346" priority="21" operator="lessThan">
      <formula>0.8</formula>
    </cfRule>
  </conditionalFormatting>
  <conditionalFormatting sqref="R19 AG19">
    <cfRule type="cellIs" dxfId="1345" priority="23" operator="lessThan">
      <formula>0.8</formula>
    </cfRule>
  </conditionalFormatting>
  <conditionalFormatting sqref="O61">
    <cfRule type="cellIs" dxfId="1344" priority="14" operator="greaterThan">
      <formula>0</formula>
    </cfRule>
  </conditionalFormatting>
  <conditionalFormatting sqref="P61 AE61">
    <cfRule type="cellIs" dxfId="1343" priority="17" operator="lessThan">
      <formula>0</formula>
    </cfRule>
  </conditionalFormatting>
  <conditionalFormatting sqref="Q61 AF61">
    <cfRule type="cellIs" dxfId="1342" priority="15" operator="greaterThan">
      <formula>1</formula>
    </cfRule>
    <cfRule type="cellIs" dxfId="1341" priority="16" operator="lessThan">
      <formula>0.8</formula>
    </cfRule>
  </conditionalFormatting>
  <conditionalFormatting sqref="R61 AG61">
    <cfRule type="cellIs" dxfId="1340" priority="18" operator="lessThan">
      <formula>0.8</formula>
    </cfRule>
  </conditionalFormatting>
  <conditionalFormatting sqref="P8">
    <cfRule type="cellIs" dxfId="1339" priority="13" operator="lessThan">
      <formula>0</formula>
    </cfRule>
  </conditionalFormatting>
  <conditionalFormatting sqref="P20">
    <cfRule type="cellIs" dxfId="1338" priority="12" operator="lessThan">
      <formula>0</formula>
    </cfRule>
  </conditionalFormatting>
  <conditionalFormatting sqref="P27">
    <cfRule type="cellIs" dxfId="1337" priority="11" operator="lessThan">
      <formula>0</formula>
    </cfRule>
  </conditionalFormatting>
  <conditionalFormatting sqref="P36">
    <cfRule type="cellIs" dxfId="1336" priority="10" operator="lessThan">
      <formula>0</formula>
    </cfRule>
  </conditionalFormatting>
  <conditionalFormatting sqref="P51">
    <cfRule type="cellIs" dxfId="1335" priority="9" operator="lessThan">
      <formula>0</formula>
    </cfRule>
  </conditionalFormatting>
  <conditionalFormatting sqref="P59">
    <cfRule type="cellIs" dxfId="1334" priority="8" operator="lessThan">
      <formula>0</formula>
    </cfRule>
  </conditionalFormatting>
  <conditionalFormatting sqref="P65">
    <cfRule type="cellIs" dxfId="1333" priority="7" operator="lessThan">
      <formula>0</formula>
    </cfRule>
  </conditionalFormatting>
  <conditionalFormatting sqref="P74">
    <cfRule type="cellIs" dxfId="1332" priority="6" operator="lessThan">
      <formula>0</formula>
    </cfRule>
  </conditionalFormatting>
  <conditionalFormatting sqref="O73">
    <cfRule type="cellIs" dxfId="1331" priority="1" operator="greaterThan">
      <formula>0</formula>
    </cfRule>
  </conditionalFormatting>
  <conditionalFormatting sqref="P73">
    <cfRule type="cellIs" dxfId="1330" priority="4" operator="lessThan">
      <formula>0</formula>
    </cfRule>
  </conditionalFormatting>
  <conditionalFormatting sqref="Q73">
    <cfRule type="cellIs" dxfId="1329" priority="2" operator="greaterThan">
      <formula>1</formula>
    </cfRule>
    <cfRule type="cellIs" dxfId="1328" priority="3" operator="lessThan">
      <formula>0.8</formula>
    </cfRule>
  </conditionalFormatting>
  <conditionalFormatting sqref="R73">
    <cfRule type="cellIs" dxfId="1327" priority="5" operator="lessThan">
      <formula>0.8</formula>
    </cfRule>
  </conditionalFormatting>
  <dataValidations count="1">
    <dataValidation type="list" allowBlank="1" showInputMessage="1" showErrorMessage="1" sqref="AB8 AA5:AB7 AB64 AA8:AA64 AB10:AB60 AA65:AB7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6" sqref="G6:H6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2277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2278</v>
      </c>
      <c r="C3" s="555" t="str">
        <f>TEXT('0523 4度C'!A2,"yyyy.mm.ddaaaa")</f>
        <v>2026.05.23星期六</v>
      </c>
      <c r="D3" s="556"/>
      <c r="E3" s="54" t="s">
        <v>2279</v>
      </c>
      <c r="F3" s="557">
        <f>'0523 4度C'!D1</f>
        <v>157490</v>
      </c>
      <c r="G3" s="558"/>
      <c r="H3" s="54" t="s">
        <v>2280</v>
      </c>
      <c r="I3" s="559">
        <f>'0523 4度C'!F1</f>
        <v>5346183.12</v>
      </c>
      <c r="J3" s="560"/>
      <c r="K3" s="55"/>
      <c r="L3" s="56"/>
      <c r="M3" s="57"/>
      <c r="N3" s="57"/>
    </row>
    <row r="4" spans="2:17" ht="28.5" customHeight="1">
      <c r="B4" s="561" t="s">
        <v>2281</v>
      </c>
      <c r="C4" s="547" t="s">
        <v>2282</v>
      </c>
      <c r="D4" s="548"/>
      <c r="E4" s="564" t="s">
        <v>2283</v>
      </c>
      <c r="F4" s="565"/>
      <c r="G4" s="564" t="s">
        <v>2284</v>
      </c>
      <c r="H4" s="565"/>
      <c r="I4" s="564" t="s">
        <v>2285</v>
      </c>
      <c r="J4" s="565"/>
      <c r="K4" s="545" t="s">
        <v>2286</v>
      </c>
      <c r="L4" s="546"/>
      <c r="M4" s="546" t="s">
        <v>2287</v>
      </c>
      <c r="N4" s="546"/>
    </row>
    <row r="5" spans="2:17" ht="28.5" customHeight="1">
      <c r="B5" s="562"/>
      <c r="C5" s="547" t="s">
        <v>2288</v>
      </c>
      <c r="D5" s="548"/>
      <c r="E5" s="547" t="s">
        <v>2289</v>
      </c>
      <c r="F5" s="548"/>
      <c r="G5" s="549" t="s">
        <v>140</v>
      </c>
      <c r="H5" s="550"/>
      <c r="I5" s="551" t="s">
        <v>2290</v>
      </c>
      <c r="J5" s="552"/>
      <c r="K5" s="58" t="s">
        <v>142</v>
      </c>
      <c r="L5" s="59" t="s">
        <v>143</v>
      </c>
      <c r="M5" s="58" t="s">
        <v>2291</v>
      </c>
      <c r="N5" s="59" t="s">
        <v>2292</v>
      </c>
    </row>
    <row r="6" spans="2:17" ht="28.5" customHeight="1">
      <c r="B6" s="562"/>
      <c r="C6" s="547" t="s">
        <v>145</v>
      </c>
      <c r="D6" s="548"/>
      <c r="E6" s="539">
        <f>AVERAGE(D13:M13)</f>
        <v>153.22394666113806</v>
      </c>
      <c r="F6" s="540">
        <f>AVERAGE(D31:O31,D13:J13)</f>
        <v>159.17223468896327</v>
      </c>
      <c r="G6" s="541">
        <f>AVERAGE(D13:J13)</f>
        <v>159.17223468896327</v>
      </c>
      <c r="H6" s="542"/>
      <c r="I6" s="541">
        <f>AVERAGE(K13:M13)</f>
        <v>139.34460792954587</v>
      </c>
      <c r="J6" s="542"/>
      <c r="K6" s="543">
        <f>'0523 4度C'!Y2</f>
        <v>0</v>
      </c>
      <c r="L6" s="528">
        <f>'0523 4度C'!Z2</f>
        <v>0</v>
      </c>
      <c r="M6" s="544">
        <f>'0523 4度C'!AC2</f>
        <v>53</v>
      </c>
      <c r="N6" s="528">
        <f>'0523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147.18737304354366</v>
      </c>
      <c r="F7" s="532">
        <f>AVERAGE(D32:O32,D14:J14)</f>
        <v>153.13508658776851</v>
      </c>
      <c r="G7" s="533">
        <f>AVERAGE(D14:J14)</f>
        <v>153.13508658776851</v>
      </c>
      <c r="H7" s="534"/>
      <c r="I7" s="533">
        <f>AVERAGE(K14:M14)</f>
        <v>133.30937477368568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0.959435732463786</v>
      </c>
      <c r="F8" s="536">
        <f>AVERAGE(D15:J15,D33:O33)</f>
        <v>0.96060969532935547</v>
      </c>
      <c r="G8" s="537">
        <f>AVERAGE(D15:J15)</f>
        <v>0.96060969532935547</v>
      </c>
      <c r="H8" s="538"/>
      <c r="I8" s="537">
        <f>AVERAGE(K15:M15)</f>
        <v>0.95669648577745703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148</v>
      </c>
      <c r="N9" s="57"/>
      <c r="O9" s="57"/>
      <c r="P9" s="57"/>
      <c r="Q9" s="57"/>
    </row>
    <row r="10" spans="2:17" ht="30" customHeight="1">
      <c r="B10" s="511" t="s">
        <v>2293</v>
      </c>
      <c r="C10" s="512"/>
      <c r="D10" s="513" t="s">
        <v>2294</v>
      </c>
      <c r="E10" s="514"/>
      <c r="F10" s="514"/>
      <c r="G10" s="514"/>
      <c r="H10" s="514"/>
      <c r="I10" s="514"/>
      <c r="J10" s="515"/>
      <c r="K10" s="516" t="s">
        <v>2295</v>
      </c>
      <c r="L10" s="517"/>
      <c r="M10" s="518"/>
      <c r="P10" s="63"/>
      <c r="Q10" s="63"/>
    </row>
    <row r="11" spans="2:17" ht="17.25" customHeight="1">
      <c r="B11" s="519" t="s">
        <v>152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2296</v>
      </c>
      <c r="C13" s="70" t="s">
        <v>2297</v>
      </c>
      <c r="D13" s="71">
        <f>SUMIFS('0523 4度C'!$K:$K,'0523 4度C'!$A:$A,"新豐6線",'0523 4度C'!$B:$B,"平均")</f>
        <v>127.65957446808511</v>
      </c>
      <c r="E13" s="72">
        <f>SUMIFS('0523 4度C'!$K:$K,'0523 4度C'!$A:$A,"新豐2線",'0523 4度C'!$B:$B,"平均")</f>
        <v>88.235294117647058</v>
      </c>
      <c r="F13" s="73">
        <f>SUMIFS('0523 4度C'!$K:$K,'0523 4度C'!$A:$A,"新豐5線",'0523 4度C'!$B:$B,"平均")</f>
        <v>98.591549295774641</v>
      </c>
      <c r="G13" s="73">
        <f>SUMIFS('0523 4度C'!$K:$K,'0523 4度C'!$A:$A,"新豐7線",'0523 4度C'!$B:$B,"平均")</f>
        <v>121.05263157894737</v>
      </c>
      <c r="H13" s="73">
        <f>SUMIFS('0523 4度C'!$K:$K,'0523 4度C'!$A:$A,"新豐3線",'0523 4度C'!$B:$B,"平均")</f>
        <v>255.81395348837211</v>
      </c>
      <c r="I13" s="73">
        <f>SUMIFS('0523 4度C'!$K:$K,'0523 4度C'!$A:$A,"新豐1線",'0523 4度C'!$B:$B,"平均")</f>
        <v>103.70370370370371</v>
      </c>
      <c r="J13" s="74">
        <f>SUMIFS('0523 4度C'!$K:$K,'0523 4度C'!$A:$A,"新豐10線",'0523 4度C'!$B:$B,"平均")</f>
        <v>319.14893617021278</v>
      </c>
      <c r="K13" s="75">
        <f>SUMIFS('0523 4度C'!$K:$K,'0523 4度C'!$A:$A,"新豐8線",'0523 4度C'!$B:$B,"平均")</f>
        <v>137.70491803278691</v>
      </c>
      <c r="L13" s="76">
        <f>SUMIFS('0523 4度C'!$K:$K,'0523 4度C'!$A:$A,"新豐9線",'0523 4度C'!$B:$B,"平均")</f>
        <v>125.49019607843138</v>
      </c>
      <c r="M13" s="74">
        <f>SUMIFS('0523 4度C'!$K:$K,'0523 4度C'!$A:$A,"新豐4線",'0523 4度C'!$B:$B,"平均")</f>
        <v>154.83870967741936</v>
      </c>
    </row>
    <row r="14" spans="2:17" ht="39.6" customHeight="1">
      <c r="B14" s="524"/>
      <c r="C14" s="77" t="s">
        <v>2298</v>
      </c>
      <c r="D14" s="78">
        <f>SUMIFS('0523 4度C'!$N:$N,'0523 4度C'!$A:$A,"新豐6線",'0523 4度C'!$B:$B,"平均")</f>
        <v>123.37192166237197</v>
      </c>
      <c r="E14" s="79">
        <f>SUMIFS('0523 4度C'!$N:$N,'0523 4度C'!$A:$A,"新豐2線",'0523 4度C'!$B:$B,"平均")</f>
        <v>84.205675058710156</v>
      </c>
      <c r="F14" s="79">
        <f>SUMIFS('0523 4度C'!$N:$N,'0523 4度C'!$A:$A,"新豐5線",'0523 4度C'!$B:$B,"平均")</f>
        <v>94.637957450101609</v>
      </c>
      <c r="G14" s="79">
        <f>SUMIFS('0523 4度C'!$N:$N,'0523 4度C'!$A:$A,"新豐7線",'0523 4度C'!$B:$B,"平均")</f>
        <v>116.05822978009957</v>
      </c>
      <c r="H14" s="79">
        <f>SUMIFS('0523 4度C'!$N:$N,'0523 4度C'!$A:$A,"新豐3線",'0523 4度C'!$B:$B,"平均")</f>
        <v>244.91568424834347</v>
      </c>
      <c r="I14" s="79">
        <f>SUMIFS('0523 4度C'!$N:$N,'0523 4度C'!$A:$A,"新豐1線",'0523 4度C'!$B:$B,"平均")</f>
        <v>99.349111864660316</v>
      </c>
      <c r="J14" s="80">
        <f>SUMIFS('0523 4度C'!$N:$N,'0523 4度C'!$A:$A,"新豐10線",'0523 4度C'!$B:$B,"平均")</f>
        <v>309.40702605009267</v>
      </c>
      <c r="K14" s="81">
        <f>SUMIFS('0523 4度C'!$N:$N,'0523 4度C'!$A:$A,"新豐8線",'0523 4度C'!$B:$B,"平均")</f>
        <v>131.55164940406462</v>
      </c>
      <c r="L14" s="82">
        <f>SUMIFS('0523 4度C'!$N:$N,'0523 4度C'!$A:$A,"新豐9線",'0523 4度C'!$B:$B,"平均")</f>
        <v>120.17159122736109</v>
      </c>
      <c r="M14" s="80">
        <f>SUMIFS('0523 4度C'!$N:$N,'0523 4度C'!$A:$A,"新豐4線",'0523 4度C'!$B:$B,"平均")</f>
        <v>148.20488368963126</v>
      </c>
    </row>
    <row r="15" spans="2:17" ht="40.15" customHeight="1">
      <c r="B15" s="525"/>
      <c r="C15" s="83" t="s">
        <v>2299</v>
      </c>
      <c r="D15" s="84">
        <f t="shared" ref="D15:M15" si="0">D14/D13</f>
        <v>0.96641338635524709</v>
      </c>
      <c r="E15" s="85">
        <f t="shared" si="0"/>
        <v>0.95433098399871508</v>
      </c>
      <c r="F15" s="85">
        <f t="shared" si="0"/>
        <v>0.95989928270817348</v>
      </c>
      <c r="G15" s="85">
        <f t="shared" si="0"/>
        <v>0.95874189818343114</v>
      </c>
      <c r="H15" s="85">
        <f t="shared" si="0"/>
        <v>0.95739767478897897</v>
      </c>
      <c r="I15" s="85">
        <f t="shared" si="0"/>
        <v>0.95800929298065296</v>
      </c>
      <c r="J15" s="86">
        <f t="shared" si="0"/>
        <v>0.96947534829029036</v>
      </c>
      <c r="K15" s="84">
        <f t="shared" si="0"/>
        <v>0.95531554924380246</v>
      </c>
      <c r="L15" s="85">
        <f t="shared" si="0"/>
        <v>0.95761736759303362</v>
      </c>
      <c r="M15" s="86">
        <f t="shared" si="0"/>
        <v>0.95715654049553522</v>
      </c>
    </row>
    <row r="16" spans="2:17" ht="17.25" customHeight="1">
      <c r="B16" s="526" t="s">
        <v>2300</v>
      </c>
      <c r="C16" s="87" t="s">
        <v>2301</v>
      </c>
      <c r="D16" s="88">
        <f>VLOOKUP("新豐6線",'0523 4度C'!$A:$T,19,0)</f>
        <v>0.70833333333333337</v>
      </c>
      <c r="E16" s="89">
        <f>VLOOKUP("新豐2線",'0523 4度C'!$A:$T,19,0)</f>
        <v>8.3333333333333329E-2</v>
      </c>
      <c r="F16" s="89">
        <f>VLOOKUP("新豐5線",'0523 4度C'!$A:$T,19,0)</f>
        <v>0.20833333333333334</v>
      </c>
      <c r="G16" s="89">
        <f>VLOOKUP("新豐7線",'0523 4度C'!$A:$T,19,0)</f>
        <v>0.20833333333333334</v>
      </c>
      <c r="H16" s="89">
        <f>VLOOKUP("新豐3線",'0523 4度C'!$A:$T,19,0)</f>
        <v>8.3333333333333329E-2</v>
      </c>
      <c r="I16" s="89">
        <f>VLOOKUP("新豐1線",'0523 4度C'!$A:$T,19,0)</f>
        <v>0.20833333333333334</v>
      </c>
      <c r="J16" s="90">
        <f>VLOOKUP("新豐10線",'0523 4度C'!$A:$T,19,0)</f>
        <v>0.20833333333333334</v>
      </c>
      <c r="K16" s="91">
        <f>VLOOKUP("新豐8線",'0523 4度C'!$A:$T,19,0)</f>
        <v>8.3333333333333329E-2</v>
      </c>
      <c r="L16" s="92">
        <f>VLOOKUP("新豐9線",'0523 4度C'!$A:$T,19,0)</f>
        <v>8.3333333333333329E-2</v>
      </c>
      <c r="M16" s="93">
        <f>VLOOKUP("新豐4線",'0523 4度C'!$A:$T,19,0)</f>
        <v>8.3333333333333329E-2</v>
      </c>
    </row>
    <row r="17" spans="2:13" ht="17.25" customHeight="1">
      <c r="B17" s="527"/>
      <c r="C17" s="87" t="s">
        <v>2302</v>
      </c>
      <c r="D17" s="91">
        <f>LOOKUP(2,1/(('0523 4度C'!$A:$A="新豐6線")*('0523 4度C'!$T:$T&lt;&gt;"")),'0523 4度C'!$T:$T)</f>
        <v>0.82152777777777775</v>
      </c>
      <c r="E17" s="89">
        <f>LOOKUP(2,1/(('0523 4度C'!$A:$A="新豐2線")*('0523 4度C'!$T:$T&lt;&gt;"")),'0523 4度C'!$T:$T)</f>
        <v>0.67916666666666647</v>
      </c>
      <c r="F17" s="89">
        <f>LOOKUP(2,1/(('0523 4度C'!$A:$A="新豐5線")*('0523 4度C'!$T:$T&lt;&gt;"")),'0523 4度C'!$T:$T)</f>
        <v>0.84444444444444444</v>
      </c>
      <c r="G17" s="89">
        <f>LOOKUP(2,1/(('0523 4度C'!$A:$A="新豐7線")*('0523 4度C'!$T:$T&lt;&gt;"")),'0523 4度C'!$T:$T)</f>
        <v>0.79791666666666661</v>
      </c>
      <c r="H17" s="89">
        <f>LOOKUP(2,1/(('0523 4度C'!$A:$A="新豐3線")*('0523 4度C'!$T:$T&lt;&gt;"")),'0523 4度C'!$T:$T)</f>
        <v>0.35416666666666669</v>
      </c>
      <c r="I17" s="89">
        <f>LOOKUP(2,1/(('0523 4度C'!$A:$A="新豐1線")*('0523 4度C'!$T:$T&lt;&gt;"")),'0523 4度C'!$T:$T)</f>
        <v>0.77708333333333335</v>
      </c>
      <c r="J17" s="90">
        <f>LOOKUP(2,1/(('0523 4度C'!$A:$A="新豐10線")*('0523 4度C'!$T:$T&lt;&gt;"")),'0523 4度C'!$T:$T)</f>
        <v>0.37499999999999994</v>
      </c>
      <c r="K17" s="88">
        <f>LOOKUP(2,1/(('0523 4度C'!$A:$A="新豐8線")*('0523 4度C'!$T:$T&lt;&gt;"")),'0523 4度C'!$T:$T)</f>
        <v>0.67361111111111105</v>
      </c>
      <c r="L17" s="89">
        <f>LOOKUP(2,1/(('0523 4度C'!$A:$A="新豐9線")*('0523 4度C'!$T:$T&lt;&gt;"")),'0523 4度C'!$T:$T)</f>
        <v>0.60416666666666652</v>
      </c>
      <c r="M17" s="90">
        <f>LOOKUP(2,1/(('0523 4度C'!$A:$A="新豐4線")*('0523 4度C'!$T:$T&lt;&gt;"")),'0523 4度C'!$T:$T)</f>
        <v>0.62569444444444433</v>
      </c>
    </row>
    <row r="18" spans="2:13" ht="17.25" customHeight="1">
      <c r="B18" s="505" t="s">
        <v>2303</v>
      </c>
      <c r="C18" s="94" t="s">
        <v>2304</v>
      </c>
      <c r="D18" s="95">
        <f>SUMIFS('0523 4度C'!$Y:$Y,'0523 4度C'!$A:$A,"新豐6線",'0523 4度C'!$B:$B,"平均")</f>
        <v>0</v>
      </c>
      <c r="E18" s="96">
        <f>SUMIFS('0523 4度C'!$Y:$Y,'0523 4度C'!$A:$A,"新豐2線",'0523 4度C'!$B:$B,"平均")</f>
        <v>0</v>
      </c>
      <c r="F18" s="96">
        <f>SUMIFS('0523 4度C'!$Y:$Y,'0523 4度C'!$A:$A,"新豐5線",'0523 4度C'!$B:$B,"平均")</f>
        <v>0</v>
      </c>
      <c r="G18" s="96">
        <f>SUMIFS('0523 4度C'!$Y:$Y,'0523 4度C'!$A:$A,"新豐7線",'0523 4度C'!$B:$B,"平均")</f>
        <v>0</v>
      </c>
      <c r="H18" s="96">
        <f>SUMIFS('0523 4度C'!$Y:$Y,'0523 4度C'!$A:$A,"新豐3線",'0523 4度C'!$B:$B,"平均")</f>
        <v>0</v>
      </c>
      <c r="I18" s="96">
        <f>SUMIFS('0523 4度C'!$Y:$Y,'0523 4度C'!$A:$A,"新豐1線",'0523 4度C'!$B:$B,"平均")</f>
        <v>0</v>
      </c>
      <c r="J18" s="97">
        <f>SUMIFS('0523 4度C'!$Y:$Y,'0523 4度C'!$A:$A,"新豐10線",'0523 4度C'!$B:$B,"平均")</f>
        <v>0</v>
      </c>
      <c r="K18" s="98">
        <f>SUMIFS('0523 4度C'!$Y:$Y,'0523 4度C'!$A:$A,"新豐8線",'0523 4度C'!$B:$B,"平均")</f>
        <v>0</v>
      </c>
      <c r="L18" s="96">
        <f>SUMIFS('0523 4度C'!$Y:$Y,'0523 4度C'!$A:$A,"新豐9線",'0523 4度C'!$B:$B,"平均")</f>
        <v>0</v>
      </c>
      <c r="M18" s="97">
        <f>SUMIFS('0523 4度C'!$Y:$Y,'0523 4度C'!$A:$A,"新豐4線",'0523 4度C'!$B:$B,"平均")</f>
        <v>0</v>
      </c>
    </row>
    <row r="19" spans="2:13" ht="17.25" customHeight="1">
      <c r="B19" s="506"/>
      <c r="C19" s="94" t="s">
        <v>2305</v>
      </c>
      <c r="D19" s="95">
        <f>SUMIFS('0523 4度C'!$Z:$Z,'0523 4度C'!$A:$A,"新豐6線",'0523 4度C'!$B:$B,"平均")</f>
        <v>0</v>
      </c>
      <c r="E19" s="96">
        <f>SUMIFS('0523 4度C'!$Z:$Z,'0523 4度C'!$A:$A,"新豐2線",'0523 4度C'!$B:$B,"平均")</f>
        <v>0</v>
      </c>
      <c r="F19" s="96">
        <f>SUMIFS('0523 4度C'!$Z:$Z,'0523 4度C'!$A:$A,"新豐5線",'0523 4度C'!$B:$B,"平均")</f>
        <v>0</v>
      </c>
      <c r="G19" s="96">
        <f>SUMIFS('0523 4度C'!$Z:$Z,'0523 4度C'!$A:$A,"新豐7線",'0523 4度C'!$B:$B,"平均")</f>
        <v>0</v>
      </c>
      <c r="H19" s="96">
        <f>SUMIFS('0523 4度C'!$Z:$Z,'0523 4度C'!$A:$A,"新豐3線",'0523 4度C'!$B:$B,"平均")</f>
        <v>0</v>
      </c>
      <c r="I19" s="96">
        <f>SUMIFS('0523 4度C'!$Z:$Z,'0523 4度C'!$A:$A,"新豐1線",'0523 4度C'!$B:$B,"平均")</f>
        <v>0</v>
      </c>
      <c r="J19" s="97">
        <f>SUMIFS('0523 4度C'!$Z:$Z,'0523 4度C'!$A:$A,"新豐10線",'0523 4度C'!$B:$B,"平均")</f>
        <v>0</v>
      </c>
      <c r="K19" s="98">
        <f>SUMIFS('0523 4度C'!$Z:$Z,'0523 4度C'!$A:$A,"新豐8線",'0523 4度C'!$B:$B,"平均")</f>
        <v>0</v>
      </c>
      <c r="L19" s="96">
        <f>SUMIFS('0523 4度C'!$Z:$Z,'0523 4度C'!$A:$A,"新豐9線",'0523 4度C'!$B:$B,"平均")</f>
        <v>0</v>
      </c>
      <c r="M19" s="97">
        <f>SUMIFS('0523 4度C'!$Z:$Z,'0523 4度C'!$A:$A,"新豐4線",'0523 4度C'!$B:$B,"平均")</f>
        <v>0</v>
      </c>
    </row>
    <row r="20" spans="2:13" ht="17.25" customHeight="1">
      <c r="B20" s="505" t="s">
        <v>2306</v>
      </c>
      <c r="C20" s="94" t="s">
        <v>2304</v>
      </c>
      <c r="D20" s="95">
        <f>SUMIFS('0523 4度C'!$AC:$AC,'0523 4度C'!$A:$A,"新豐6線",'0523 4度C'!$B:$B,"平均")</f>
        <v>3</v>
      </c>
      <c r="E20" s="96">
        <f>SUMIFS('0523 4度C'!$AC:$AC,'0523 4度C'!$A:$A,"新豐2線",'0523 4度C'!$B:$B,"平均")</f>
        <v>5</v>
      </c>
      <c r="F20" s="96">
        <f>SUMIFS('0523 4度C'!$AC:$AC,'0523 4度C'!$A:$A,"新豐5線",'0523 4度C'!$B:$B,"平均")</f>
        <v>4</v>
      </c>
      <c r="G20" s="96">
        <f>SUMIFS('0523 4度C'!$AC:$AC,'0523 4度C'!$A:$A,"新豐7線",'0523 4度C'!$B:$B,"平均")</f>
        <v>6</v>
      </c>
      <c r="H20" s="96">
        <f>SUMIFS('0523 4度C'!$AC:$AC,'0523 4度C'!$A:$A,"新豐3線",'0523 4度C'!$B:$B,"平均")</f>
        <v>4</v>
      </c>
      <c r="I20" s="96">
        <f>SUMIFS('0523 4度C'!$AC:$AC,'0523 4度C'!$A:$A,"新豐1線",'0523 4度C'!$B:$B,"平均")</f>
        <v>7</v>
      </c>
      <c r="J20" s="97">
        <f>SUMIFS('0523 4度C'!$AC:$AC,'0523 4度C'!$A:$A,"新豐10線",'0523 4度C'!$B:$B,"平均")</f>
        <v>5</v>
      </c>
      <c r="K20" s="98">
        <f>SUMIFS('0523 4度C'!$AC:$AC,'0523 4度C'!$A:$A,"新豐8線",'0523 4度C'!$B:$B,"平均")</f>
        <v>7</v>
      </c>
      <c r="L20" s="96">
        <f>SUMIFS('0523 4度C'!$AC:$AC,'0523 4度C'!$A:$A,"新豐9線",'0523 4度C'!$B:$B,"平均")</f>
        <v>6</v>
      </c>
      <c r="M20" s="97">
        <f>SUMIFS('0523 4度C'!$AC:$AC,'0523 4度C'!$A:$A,"新豐4線",'0523 4度C'!$B:$B,"平均")</f>
        <v>6</v>
      </c>
    </row>
    <row r="21" spans="2:13" ht="17.25" customHeight="1">
      <c r="B21" s="506"/>
      <c r="C21" s="94" t="s">
        <v>2307</v>
      </c>
      <c r="D21" s="95">
        <f>SUMIFS('0523 4度C'!$AD:$AD,'0523 4度C'!$A:$A,"新豐6線",'0523 4度C'!$B:$B,"平均")</f>
        <v>0</v>
      </c>
      <c r="E21" s="96">
        <f>SUMIFS('0523 4度C'!$AD:$AD,'0523 4度C'!$A:$A,"新豐2線",'0523 4度C'!$B:$B,"平均")</f>
        <v>0</v>
      </c>
      <c r="F21" s="96">
        <f>SUMIFS('0523 4度C'!$AD:$AD,'0523 4度C'!$A:$A,"新豐5線",'0523 4度C'!$B:$B,"平均")</f>
        <v>0</v>
      </c>
      <c r="G21" s="96">
        <f>SUMIFS('0523 4度C'!$AD:$AD,'0523 4度C'!$A:$A,"新豐7線",'0523 4度C'!$B:$B,"平均")</f>
        <v>0</v>
      </c>
      <c r="H21" s="96">
        <f>SUMIFS('0523 4度C'!$AD:$AD,'0523 4度C'!$A:$A,"新豐3線",'0523 4度C'!$B:$B,"平均")</f>
        <v>0</v>
      </c>
      <c r="I21" s="96">
        <f>SUMIFS('0523 4度C'!$AD:$AD,'0523 4度C'!$A:$A,"新豐1線",'0523 4度C'!$B:$B,"平均")</f>
        <v>0</v>
      </c>
      <c r="J21" s="97">
        <f>SUMIFS('0523 4度C'!$AD:$AD,'0523 4度C'!$A:$A,"新豐10線",'0523 4度C'!$B:$B,"平均")</f>
        <v>0</v>
      </c>
      <c r="K21" s="98">
        <f>SUMIFS('0523 4度C'!$AD:$AD,'0523 4度C'!$A:$A,"新豐8線",'0523 4度C'!$B:$B,"平均")</f>
        <v>0</v>
      </c>
      <c r="L21" s="96">
        <f>SUMIFS('0523 4度C'!$AD:$AD,'0523 4度C'!$A:$A,"新豐9線",'0523 4度C'!$B:$B,"平均")</f>
        <v>0</v>
      </c>
      <c r="M21" s="97">
        <f>SUMIFS('0523 4度C'!$AD:$AD,'0523 4度C'!$A:$A,"新豐4線",'0523 4度C'!$B:$B,"平均")</f>
        <v>0</v>
      </c>
    </row>
    <row r="22" spans="2:13" ht="17.25" customHeight="1">
      <c r="B22" s="507" t="s">
        <v>2308</v>
      </c>
      <c r="C22" s="508"/>
      <c r="D22" s="99">
        <f>SUMIFS('0523 4度C'!$I:$I,'0523 4度C'!$A:$A,"新豐6線",'0523 4度C'!$B:$B,"平均")</f>
        <v>15.666666666666666</v>
      </c>
      <c r="E22" s="100">
        <f>SUMIFS('0523 4度C'!$I:$I,'0523 4度C'!$A:$A,"新豐2線",'0523 4度C'!$B:$B,"平均")</f>
        <v>17</v>
      </c>
      <c r="F22" s="100">
        <f>SUMIFS('0523 4度C'!$I:$I,'0523 4度C'!$A:$A,"新豐5線",'0523 4度C'!$B:$B,"平均")</f>
        <v>17.75</v>
      </c>
      <c r="G22" s="100">
        <f>SUMIFS('0523 4度C'!$I:$I,'0523 4度C'!$A:$A,"新豐7線",'0523 4度C'!$B:$B,"平均")</f>
        <v>15.833333333333334</v>
      </c>
      <c r="H22" s="100">
        <f>SUMIFS('0523 4度C'!$I:$I,'0523 4度C'!$A:$A,"新豐3線",'0523 4度C'!$B:$B,"平均")</f>
        <v>10.75</v>
      </c>
      <c r="I22" s="100">
        <f>SUMIFS('0523 4度C'!$I:$I,'0523 4度C'!$A:$A,"新豐1線",'0523 4度C'!$B:$B,"平均")</f>
        <v>19.285714285714285</v>
      </c>
      <c r="J22" s="101">
        <f>SUMIFS('0523 4度C'!$I:$I,'0523 4度C'!$A:$A,"新豐10線",'0523 4度C'!$B:$B,"平均")</f>
        <v>9.4</v>
      </c>
      <c r="K22" s="99">
        <f>SUMIFS('0523 4度C'!$I:$I,'0523 4度C'!$A:$A,"新豐8線",'0523 4度C'!$B:$B,"平均")</f>
        <v>17.428571428571427</v>
      </c>
      <c r="L22" s="100">
        <f>SUMIFS('0523 4度C'!$I:$I,'0523 4度C'!$A:$A,"新豐9線",'0523 4度C'!$B:$B,"平均")</f>
        <v>17</v>
      </c>
      <c r="M22" s="101">
        <f>SUMIFS('0523 4度C'!$I:$I,'0523 4度C'!$A:$A,"新豐4線",'0523 4度C'!$B:$B,"平均")</f>
        <v>15.5</v>
      </c>
    </row>
    <row r="23" spans="2:13" ht="17.25" customHeight="1">
      <c r="B23" s="507" t="s">
        <v>2309</v>
      </c>
      <c r="C23" s="508"/>
      <c r="D23" s="102" t="s">
        <v>177</v>
      </c>
      <c r="E23" s="103" t="s">
        <v>178</v>
      </c>
      <c r="F23" s="103" t="s">
        <v>2310</v>
      </c>
      <c r="G23" s="103" t="s">
        <v>2310</v>
      </c>
      <c r="H23" s="103" t="s">
        <v>180</v>
      </c>
      <c r="I23" s="103" t="s">
        <v>177</v>
      </c>
      <c r="J23" s="104" t="s">
        <v>180</v>
      </c>
      <c r="K23" s="102" t="s">
        <v>2311</v>
      </c>
      <c r="L23" s="103" t="s">
        <v>2311</v>
      </c>
      <c r="M23" s="104" t="s">
        <v>2311</v>
      </c>
    </row>
    <row r="24" spans="2:13" ht="17.25" customHeight="1">
      <c r="B24" s="507" t="s">
        <v>2312</v>
      </c>
      <c r="C24" s="508"/>
      <c r="D24" s="102"/>
      <c r="E24" s="103"/>
      <c r="F24" s="103" t="s">
        <v>2313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2314</v>
      </c>
      <c r="C25" s="510"/>
      <c r="D25" s="105"/>
      <c r="E25" s="106" t="s">
        <v>2315</v>
      </c>
      <c r="F25" s="503" t="s">
        <v>2316</v>
      </c>
      <c r="G25" s="504"/>
      <c r="H25" s="106" t="s">
        <v>188</v>
      </c>
      <c r="I25" s="106" t="s">
        <v>2317</v>
      </c>
      <c r="J25" s="107" t="s">
        <v>2318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32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8"/>
  <sheetViews>
    <sheetView zoomScale="80" zoomScaleNormal="80" workbookViewId="0">
      <pane ySplit="4" topLeftCell="A5" activePane="bottomLeft" state="frozen"/>
      <selection activeCell="G6" sqref="G6:H6"/>
      <selection pane="bottomLeft" activeCell="G6" sqref="G6:H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2319</v>
      </c>
      <c r="B1" s="1"/>
      <c r="C1" s="2" t="s">
        <v>2320</v>
      </c>
      <c r="D1" s="3">
        <f>SUM(F5:F67)</f>
        <v>157490</v>
      </c>
      <c r="E1" s="381" t="s">
        <v>2321</v>
      </c>
      <c r="F1" s="1">
        <f>SUM(G5:G67)</f>
        <v>5346183.12</v>
      </c>
      <c r="G1" s="1" t="s">
        <v>2322</v>
      </c>
      <c r="H1" s="5">
        <f>L8+L14+L46+L54+L19+L60+L34+L41+L26+L67</f>
        <v>155.61428571428573</v>
      </c>
      <c r="I1" s="617" t="s">
        <v>2323</v>
      </c>
      <c r="J1" s="617"/>
      <c r="K1" s="617"/>
      <c r="L1" s="617" t="s">
        <v>2324</v>
      </c>
      <c r="M1" s="617"/>
      <c r="N1" s="617"/>
      <c r="O1" s="617" t="s">
        <v>2325</v>
      </c>
      <c r="P1" s="617"/>
      <c r="Q1" s="617"/>
      <c r="R1" s="617"/>
      <c r="S1" s="617" t="s">
        <v>2326</v>
      </c>
      <c r="T1" s="617"/>
      <c r="U1" s="617"/>
      <c r="V1" s="617"/>
      <c r="W1" s="617"/>
      <c r="X1" s="617"/>
      <c r="Y1" s="6" t="s">
        <v>2327</v>
      </c>
      <c r="Z1" s="7" t="s">
        <v>2328</v>
      </c>
      <c r="AA1" s="618" t="s">
        <v>2329</v>
      </c>
      <c r="AB1" s="618"/>
      <c r="AC1" s="121" t="s">
        <v>2327</v>
      </c>
      <c r="AD1" s="7" t="s">
        <v>2330</v>
      </c>
      <c r="AE1" s="617" t="s">
        <v>2331</v>
      </c>
      <c r="AF1" s="619"/>
      <c r="AG1" s="619"/>
    </row>
    <row r="2" spans="1:33" ht="26.25" customHeight="1">
      <c r="A2" s="37">
        <v>46165</v>
      </c>
      <c r="B2" s="38" t="s">
        <v>249</v>
      </c>
      <c r="C2" s="2" t="s">
        <v>2296</v>
      </c>
      <c r="D2" s="10">
        <f>AVERAGE(N8,N14,N46,N54,N19,N60,N26,N34,N41,N67)</f>
        <v>147.18737304354366</v>
      </c>
      <c r="E2" s="11" t="s">
        <v>14</v>
      </c>
      <c r="F2" s="12">
        <f>F1/D1</f>
        <v>33.946175122229981</v>
      </c>
      <c r="G2" s="1" t="s">
        <v>2332</v>
      </c>
      <c r="H2" s="378">
        <f>COUNT(H5:H67)</f>
        <v>6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SUM(Y8+Y14+Y19+Y26+Y34+Y41+Y46+Y54+Y60+Y67)</f>
        <v>0</v>
      </c>
      <c r="Z2" s="14">
        <f>SUM(Z8+Z14+Z19+Z26+Z34+Z41+Z46+Z54+Z60+Z67)</f>
        <v>0</v>
      </c>
      <c r="AA2" s="618"/>
      <c r="AB2" s="618"/>
      <c r="AC2" s="122">
        <v>53</v>
      </c>
      <c r="AD2" s="14">
        <f>SUM(AD8+AD14+AD19+AD26+AD34+AD41+AD46+AD54+AD60+AD67)</f>
        <v>0</v>
      </c>
      <c r="AE2" s="619"/>
      <c r="AF2" s="619"/>
      <c r="AG2" s="619"/>
    </row>
    <row r="3" spans="1:33" ht="40.5" customHeight="1">
      <c r="A3" s="575" t="s">
        <v>2333</v>
      </c>
      <c r="B3" s="575" t="s">
        <v>2334</v>
      </c>
      <c r="C3" s="575" t="s">
        <v>2335</v>
      </c>
      <c r="D3" s="575"/>
      <c r="E3" s="615" t="s">
        <v>2336</v>
      </c>
      <c r="F3" s="575" t="s">
        <v>2337</v>
      </c>
      <c r="G3" s="615" t="s">
        <v>2338</v>
      </c>
      <c r="H3" s="608" t="s">
        <v>2339</v>
      </c>
      <c r="I3" s="606" t="s">
        <v>2340</v>
      </c>
      <c r="J3" s="603" t="s">
        <v>2341</v>
      </c>
      <c r="K3" s="613" t="s">
        <v>2296</v>
      </c>
      <c r="L3" s="606" t="s">
        <v>2340</v>
      </c>
      <c r="M3" s="603" t="s">
        <v>2341</v>
      </c>
      <c r="N3" s="613" t="s">
        <v>2296</v>
      </c>
      <c r="O3" s="606" t="s">
        <v>2340</v>
      </c>
      <c r="P3" s="613" t="s">
        <v>2296</v>
      </c>
      <c r="Q3" s="604" t="s">
        <v>2342</v>
      </c>
      <c r="R3" s="582" t="s">
        <v>2343</v>
      </c>
      <c r="S3" s="614" t="s">
        <v>28</v>
      </c>
      <c r="T3" s="614"/>
      <c r="U3" s="608" t="s">
        <v>29</v>
      </c>
      <c r="V3" s="608" t="s">
        <v>2344</v>
      </c>
      <c r="W3" s="575" t="s">
        <v>2345</v>
      </c>
      <c r="X3" s="575"/>
      <c r="Y3" s="609" t="s">
        <v>2346</v>
      </c>
      <c r="Z3" s="572"/>
      <c r="AA3" s="610" t="s">
        <v>2347</v>
      </c>
      <c r="AB3" s="611"/>
      <c r="AC3" s="609" t="s">
        <v>2348</v>
      </c>
      <c r="AD3" s="572"/>
      <c r="AE3" s="603" t="s">
        <v>2349</v>
      </c>
      <c r="AF3" s="604" t="s">
        <v>2350</v>
      </c>
      <c r="AG3" s="582" t="s">
        <v>2351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388" t="s">
        <v>36</v>
      </c>
      <c r="T4" s="388" t="s">
        <v>37</v>
      </c>
      <c r="U4" s="608"/>
      <c r="V4" s="608"/>
      <c r="W4" s="381" t="s">
        <v>2352</v>
      </c>
      <c r="X4" s="381" t="s">
        <v>2353</v>
      </c>
      <c r="Y4" s="383" t="s">
        <v>2354</v>
      </c>
      <c r="Z4" s="383" t="s">
        <v>2355</v>
      </c>
      <c r="AA4" s="612"/>
      <c r="AB4" s="611"/>
      <c r="AC4" s="383" t="s">
        <v>2356</v>
      </c>
      <c r="AD4" s="383" t="s">
        <v>2357</v>
      </c>
      <c r="AE4" s="603"/>
      <c r="AF4" s="604"/>
      <c r="AG4" s="582"/>
    </row>
    <row r="5" spans="1:33">
      <c r="A5" s="605" t="s">
        <v>2358</v>
      </c>
      <c r="B5" s="39" t="s">
        <v>74</v>
      </c>
      <c r="C5" s="607" t="s">
        <v>75</v>
      </c>
      <c r="D5" s="607"/>
      <c r="E5" s="39">
        <v>50.67</v>
      </c>
      <c r="F5" s="388">
        <v>1382</v>
      </c>
      <c r="G5" s="381">
        <f t="shared" ref="G5:G7" si="0">E5*F5</f>
        <v>70025.94</v>
      </c>
      <c r="H5" s="48" t="s">
        <v>126</v>
      </c>
      <c r="I5" s="379">
        <v>17</v>
      </c>
      <c r="J5" s="43">
        <v>2000</v>
      </c>
      <c r="K5" s="18">
        <f t="shared" ref="K5:K67" si="1">J5/I5</f>
        <v>117.64705882352941</v>
      </c>
      <c r="L5" s="379">
        <v>17</v>
      </c>
      <c r="M5" s="19">
        <f t="shared" ref="M5:M7" si="2">F5/V5*60</f>
        <v>1928.3720930232557</v>
      </c>
      <c r="N5" s="18">
        <f t="shared" ref="N5:N67" si="3">M5/L5</f>
        <v>113.43365253077975</v>
      </c>
      <c r="O5" s="20">
        <f t="shared" ref="O5:O67" si="4">L5-I5</f>
        <v>0</v>
      </c>
      <c r="P5" s="21">
        <f t="shared" ref="P5:P67" si="5">N5-K5</f>
        <v>-4.2134062927496529</v>
      </c>
      <c r="Q5" s="380">
        <f t="shared" ref="Q5:Q67" si="6">N5/K5</f>
        <v>0.96418604651162798</v>
      </c>
      <c r="R5" s="573">
        <f>Q8</f>
        <v>0.96641338635524709</v>
      </c>
      <c r="S5" s="49">
        <v>0.70833333333333337</v>
      </c>
      <c r="T5" s="49">
        <v>0.73819444444444449</v>
      </c>
      <c r="U5" s="381"/>
      <c r="V5" s="382">
        <f t="shared" ref="V5:V7" si="7">(T5-S5)*24*60</f>
        <v>43.000000000000007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53" si="8">M5-J5</f>
        <v>-71.627906976744271</v>
      </c>
      <c r="AF5" s="380">
        <f t="shared" ref="AF5:AF67" si="9">M5/J5</f>
        <v>0.96418604651162787</v>
      </c>
      <c r="AG5" s="573">
        <f>AF8</f>
        <v>0.96641338635524709</v>
      </c>
    </row>
    <row r="6" spans="1:33">
      <c r="A6" s="606" t="s">
        <v>44</v>
      </c>
      <c r="B6" s="39" t="s">
        <v>74</v>
      </c>
      <c r="C6" s="607" t="s">
        <v>77</v>
      </c>
      <c r="D6" s="607"/>
      <c r="E6" s="39">
        <v>50.67</v>
      </c>
      <c r="F6" s="388">
        <v>1421</v>
      </c>
      <c r="G6" s="381">
        <f t="shared" si="0"/>
        <v>72002.070000000007</v>
      </c>
      <c r="H6" s="48" t="s">
        <v>126</v>
      </c>
      <c r="I6" s="379">
        <v>15</v>
      </c>
      <c r="J6" s="43">
        <v>2000</v>
      </c>
      <c r="K6" s="18">
        <f t="shared" si="1"/>
        <v>133.33333333333334</v>
      </c>
      <c r="L6" s="379">
        <v>15</v>
      </c>
      <c r="M6" s="19">
        <f t="shared" si="2"/>
        <v>1937.7272727272727</v>
      </c>
      <c r="N6" s="18">
        <f t="shared" si="3"/>
        <v>129.18181818181819</v>
      </c>
      <c r="O6" s="20">
        <f t="shared" si="4"/>
        <v>0</v>
      </c>
      <c r="P6" s="21">
        <f t="shared" si="5"/>
        <v>-4.1515151515151558</v>
      </c>
      <c r="Q6" s="380">
        <f t="shared" si="6"/>
        <v>0.96886363636363637</v>
      </c>
      <c r="R6" s="573"/>
      <c r="S6" s="49">
        <v>0.74236111111111114</v>
      </c>
      <c r="T6" s="49">
        <v>0.7729166666666667</v>
      </c>
      <c r="U6" s="381">
        <f t="shared" ref="U6:U7" si="10">IF(S6=TIME(17,0,0),"",(S6-T5)*24*60)</f>
        <v>5.9999999999999787</v>
      </c>
      <c r="V6" s="382">
        <f t="shared" si="7"/>
        <v>44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-62.272727272727252</v>
      </c>
      <c r="AF6" s="380">
        <f t="shared" si="9"/>
        <v>0.96886363636363637</v>
      </c>
      <c r="AG6" s="573"/>
    </row>
    <row r="7" spans="1:33">
      <c r="A7" s="606" t="s">
        <v>44</v>
      </c>
      <c r="B7" s="39" t="s">
        <v>74</v>
      </c>
      <c r="C7" s="598" t="s">
        <v>86</v>
      </c>
      <c r="D7" s="599"/>
      <c r="E7" s="39">
        <v>50.92</v>
      </c>
      <c r="F7" s="388">
        <v>2029</v>
      </c>
      <c r="G7" s="381">
        <f t="shared" si="0"/>
        <v>103316.68000000001</v>
      </c>
      <c r="H7" s="48" t="s">
        <v>126</v>
      </c>
      <c r="I7" s="379">
        <v>15</v>
      </c>
      <c r="J7" s="43">
        <v>2000</v>
      </c>
      <c r="K7" s="18">
        <f t="shared" si="1"/>
        <v>133.33333333333334</v>
      </c>
      <c r="L7" s="379">
        <v>15</v>
      </c>
      <c r="M7" s="19">
        <f t="shared" si="2"/>
        <v>1932.3809523809543</v>
      </c>
      <c r="N7" s="18">
        <f t="shared" si="3"/>
        <v>128.82539682539695</v>
      </c>
      <c r="O7" s="20">
        <f t="shared" si="4"/>
        <v>0</v>
      </c>
      <c r="P7" s="21">
        <f t="shared" si="5"/>
        <v>-4.5079365079363924</v>
      </c>
      <c r="Q7" s="380">
        <f t="shared" si="6"/>
        <v>0.96619047619047704</v>
      </c>
      <c r="R7" s="573"/>
      <c r="S7" s="49">
        <v>0.77777777777777779</v>
      </c>
      <c r="T7" s="49">
        <v>0.82152777777777775</v>
      </c>
      <c r="U7" s="381">
        <f t="shared" si="10"/>
        <v>6.9999999999999751</v>
      </c>
      <c r="V7" s="382">
        <f t="shared" si="7"/>
        <v>62.999999999999936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-67.619047619045659</v>
      </c>
      <c r="AF7" s="380">
        <f t="shared" si="9"/>
        <v>0.96619047619047715</v>
      </c>
      <c r="AG7" s="573"/>
    </row>
    <row r="8" spans="1:33">
      <c r="A8" s="606" t="s">
        <v>2359</v>
      </c>
      <c r="B8" s="39" t="s">
        <v>2360</v>
      </c>
      <c r="C8" s="576"/>
      <c r="D8" s="576"/>
      <c r="E8" s="384"/>
      <c r="F8" s="42"/>
      <c r="G8" s="18"/>
      <c r="H8" s="388"/>
      <c r="I8" s="32">
        <v>15.666666666666666</v>
      </c>
      <c r="J8" s="43">
        <v>2000</v>
      </c>
      <c r="K8" s="18">
        <f t="shared" si="1"/>
        <v>127.65957446808511</v>
      </c>
      <c r="L8" s="32">
        <v>15.666666666666666</v>
      </c>
      <c r="M8" s="19">
        <f>AVERAGE(M5:M7)</f>
        <v>1932.8267727104942</v>
      </c>
      <c r="N8" s="18">
        <f t="shared" si="3"/>
        <v>123.37192166237197</v>
      </c>
      <c r="O8" s="20">
        <f t="shared" si="4"/>
        <v>0</v>
      </c>
      <c r="P8" s="21">
        <f t="shared" si="5"/>
        <v>-4.2876528057131367</v>
      </c>
      <c r="Q8" s="380">
        <f t="shared" si="6"/>
        <v>0.96641338635524709</v>
      </c>
      <c r="R8" s="573"/>
      <c r="S8" s="49"/>
      <c r="T8" s="49"/>
      <c r="U8" s="381"/>
      <c r="V8" s="382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-67.173227289505803</v>
      </c>
      <c r="AF8" s="380">
        <f t="shared" si="9"/>
        <v>0.96641338635524709</v>
      </c>
      <c r="AG8" s="573"/>
    </row>
    <row r="9" spans="1:33" ht="15.75" customHeight="1">
      <c r="A9" s="602" t="s">
        <v>47</v>
      </c>
      <c r="B9" s="39" t="s">
        <v>79</v>
      </c>
      <c r="C9" s="598" t="s">
        <v>80</v>
      </c>
      <c r="D9" s="599"/>
      <c r="E9" s="39">
        <v>39.619999999999997</v>
      </c>
      <c r="F9" s="388">
        <v>4699</v>
      </c>
      <c r="G9" s="381">
        <f t="shared" ref="G9:G13" si="11">E9*F9</f>
        <v>186174.37999999998</v>
      </c>
      <c r="H9" s="48" t="s">
        <v>126</v>
      </c>
      <c r="I9" s="379">
        <v>19</v>
      </c>
      <c r="J9" s="43">
        <v>1500</v>
      </c>
      <c r="K9" s="18">
        <f t="shared" si="1"/>
        <v>78.94736842105263</v>
      </c>
      <c r="L9" s="379">
        <v>19</v>
      </c>
      <c r="M9" s="19">
        <f t="shared" ref="M9:M13" si="12">F9/V9*60</f>
        <v>1431.1675126903551</v>
      </c>
      <c r="N9" s="18">
        <f t="shared" si="3"/>
        <v>75.324605931071318</v>
      </c>
      <c r="O9" s="20">
        <f t="shared" si="4"/>
        <v>0</v>
      </c>
      <c r="P9" s="21">
        <f t="shared" si="5"/>
        <v>-3.6227624899813122</v>
      </c>
      <c r="Q9" s="380">
        <f t="shared" si="6"/>
        <v>0.95411167512690342</v>
      </c>
      <c r="R9" s="573">
        <f>Q14</f>
        <v>0.95433098399871508</v>
      </c>
      <c r="S9" s="49">
        <v>8.3333333333333329E-2</v>
      </c>
      <c r="T9" s="49">
        <v>0.22013888888888888</v>
      </c>
      <c r="U9" s="381"/>
      <c r="V9" s="382">
        <f t="shared" ref="V9:V13" si="13">(T9-S9)*24*60</f>
        <v>197.00000000000003</v>
      </c>
      <c r="W9" s="25">
        <f>T9</f>
        <v>0.22013888888888888</v>
      </c>
      <c r="X9" s="25">
        <f>S10</f>
        <v>0.23888888888888887</v>
      </c>
      <c r="Y9" s="25"/>
      <c r="Z9" s="25"/>
      <c r="AA9" s="575"/>
      <c r="AB9" s="575"/>
      <c r="AC9" s="50">
        <v>5</v>
      </c>
      <c r="AD9" s="27"/>
      <c r="AE9" s="20">
        <f t="shared" si="8"/>
        <v>-68.832487309644875</v>
      </c>
      <c r="AF9" s="380">
        <f t="shared" si="9"/>
        <v>0.95411167512690342</v>
      </c>
      <c r="AG9" s="573">
        <f>AF14</f>
        <v>0.95433098399871508</v>
      </c>
    </row>
    <row r="10" spans="1:33" ht="15.75" customHeight="1">
      <c r="A10" s="602" t="s">
        <v>1109</v>
      </c>
      <c r="B10" s="39" t="s">
        <v>79</v>
      </c>
      <c r="C10" s="598" t="s">
        <v>81</v>
      </c>
      <c r="D10" s="599"/>
      <c r="E10" s="39">
        <v>39.799999999999997</v>
      </c>
      <c r="F10" s="388">
        <v>3800</v>
      </c>
      <c r="G10" s="381">
        <f t="shared" si="11"/>
        <v>151240</v>
      </c>
      <c r="H10" s="48">
        <v>2</v>
      </c>
      <c r="I10" s="379">
        <v>17</v>
      </c>
      <c r="J10" s="43">
        <v>1500</v>
      </c>
      <c r="K10" s="18">
        <f t="shared" si="1"/>
        <v>88.235294117647058</v>
      </c>
      <c r="L10" s="379">
        <v>17</v>
      </c>
      <c r="M10" s="19">
        <f t="shared" si="12"/>
        <v>1433.9622641509434</v>
      </c>
      <c r="N10" s="18">
        <f t="shared" si="3"/>
        <v>84.350721420643723</v>
      </c>
      <c r="O10" s="20">
        <f t="shared" si="4"/>
        <v>0</v>
      </c>
      <c r="P10" s="21">
        <f t="shared" si="5"/>
        <v>-3.8845726970033354</v>
      </c>
      <c r="Q10" s="380">
        <f t="shared" si="6"/>
        <v>0.9559748427672955</v>
      </c>
      <c r="R10" s="573"/>
      <c r="S10" s="49">
        <v>0.23888888888888887</v>
      </c>
      <c r="T10" s="49">
        <v>0.34930555555555554</v>
      </c>
      <c r="U10" s="381">
        <f t="shared" ref="U10:U13" si="14">IF(S10=TIME(17,0,0),"",(S10-T9)*24*60)</f>
        <v>26.999999999999986</v>
      </c>
      <c r="V10" s="382">
        <f t="shared" si="13"/>
        <v>159</v>
      </c>
      <c r="W10" s="25"/>
      <c r="X10" s="25"/>
      <c r="Y10" s="25"/>
      <c r="Z10" s="25"/>
      <c r="AA10" s="575"/>
      <c r="AB10" s="575"/>
      <c r="AC10" s="50"/>
      <c r="AD10" s="27"/>
      <c r="AE10" s="20">
        <f t="shared" si="8"/>
        <v>-66.037735849056617</v>
      </c>
      <c r="AF10" s="380">
        <f t="shared" si="9"/>
        <v>0.95597484276729561</v>
      </c>
      <c r="AG10" s="573"/>
    </row>
    <row r="11" spans="1:33" ht="15.75" customHeight="1">
      <c r="A11" s="602" t="s">
        <v>2361</v>
      </c>
      <c r="B11" s="39" t="s">
        <v>79</v>
      </c>
      <c r="C11" s="598" t="s">
        <v>1953</v>
      </c>
      <c r="D11" s="599"/>
      <c r="E11" s="39">
        <v>39.46</v>
      </c>
      <c r="F11" s="388">
        <v>4000</v>
      </c>
      <c r="G11" s="381">
        <f t="shared" si="11"/>
        <v>157840</v>
      </c>
      <c r="H11" s="48">
        <v>2</v>
      </c>
      <c r="I11" s="379">
        <v>16</v>
      </c>
      <c r="J11" s="43">
        <v>1500</v>
      </c>
      <c r="K11" s="18">
        <f t="shared" si="1"/>
        <v>93.75</v>
      </c>
      <c r="L11" s="379">
        <v>16</v>
      </c>
      <c r="M11" s="19">
        <f t="shared" si="12"/>
        <v>1428.5714285714289</v>
      </c>
      <c r="N11" s="18">
        <f t="shared" si="3"/>
        <v>89.285714285714306</v>
      </c>
      <c r="O11" s="20">
        <f t="shared" si="4"/>
        <v>0</v>
      </c>
      <c r="P11" s="21">
        <f t="shared" si="5"/>
        <v>-4.464285714285694</v>
      </c>
      <c r="Q11" s="380">
        <f t="shared" si="6"/>
        <v>0.95238095238095255</v>
      </c>
      <c r="R11" s="573"/>
      <c r="S11" s="49">
        <v>0.35486111111111107</v>
      </c>
      <c r="T11" s="49">
        <v>0.47152777777777771</v>
      </c>
      <c r="U11" s="381">
        <f t="shared" si="14"/>
        <v>7.9999999999999716</v>
      </c>
      <c r="V11" s="382">
        <f t="shared" si="13"/>
        <v>167.99999999999997</v>
      </c>
      <c r="W11" s="25">
        <f>T11</f>
        <v>0.47152777777777771</v>
      </c>
      <c r="X11" s="25">
        <f>S12</f>
        <v>0.51249999999999984</v>
      </c>
      <c r="Y11" s="25"/>
      <c r="Z11" s="25"/>
      <c r="AA11" s="575"/>
      <c r="AB11" s="575"/>
      <c r="AC11" s="50"/>
      <c r="AD11" s="27"/>
      <c r="AE11" s="20">
        <f t="shared" si="8"/>
        <v>-71.428571428571104</v>
      </c>
      <c r="AF11" s="380">
        <f t="shared" si="9"/>
        <v>0.95238095238095255</v>
      </c>
      <c r="AG11" s="573"/>
    </row>
    <row r="12" spans="1:33" ht="15.75" customHeight="1">
      <c r="A12" s="602" t="s">
        <v>47</v>
      </c>
      <c r="B12" s="39" t="s">
        <v>79</v>
      </c>
      <c r="C12" s="598" t="s">
        <v>81</v>
      </c>
      <c r="D12" s="599"/>
      <c r="E12" s="39">
        <v>39.799999999999997</v>
      </c>
      <c r="F12" s="388">
        <v>2702</v>
      </c>
      <c r="G12" s="381">
        <f t="shared" si="11"/>
        <v>107539.59999999999</v>
      </c>
      <c r="H12" s="48" t="s">
        <v>126</v>
      </c>
      <c r="I12" s="379">
        <v>17</v>
      </c>
      <c r="J12" s="43">
        <v>1500</v>
      </c>
      <c r="K12" s="18">
        <f t="shared" si="1"/>
        <v>88.235294117647058</v>
      </c>
      <c r="L12" s="379">
        <v>17</v>
      </c>
      <c r="M12" s="19">
        <f t="shared" si="12"/>
        <v>1434.6902654867267</v>
      </c>
      <c r="N12" s="18">
        <f t="shared" si="3"/>
        <v>84.393545028630982</v>
      </c>
      <c r="O12" s="20">
        <f t="shared" si="4"/>
        <v>0</v>
      </c>
      <c r="P12" s="21">
        <f t="shared" si="5"/>
        <v>-3.8417490890160764</v>
      </c>
      <c r="Q12" s="380">
        <f t="shared" si="6"/>
        <v>0.95646017699115116</v>
      </c>
      <c r="R12" s="573"/>
      <c r="S12" s="49">
        <v>0.51249999999999984</v>
      </c>
      <c r="T12" s="49">
        <v>0.59097222222222201</v>
      </c>
      <c r="U12" s="381">
        <f t="shared" si="14"/>
        <v>58.999999999999872</v>
      </c>
      <c r="V12" s="382">
        <f t="shared" si="13"/>
        <v>112.99999999999991</v>
      </c>
      <c r="W12" s="25"/>
      <c r="X12" s="25"/>
      <c r="Y12" s="25"/>
      <c r="Z12" s="25"/>
      <c r="AA12" s="568"/>
      <c r="AB12" s="569"/>
      <c r="AC12" s="50"/>
      <c r="AD12" s="27"/>
      <c r="AE12" s="20">
        <f t="shared" si="8"/>
        <v>-65.30973451327327</v>
      </c>
      <c r="AF12" s="380">
        <f t="shared" si="9"/>
        <v>0.95646017699115116</v>
      </c>
      <c r="AG12" s="573"/>
    </row>
    <row r="13" spans="1:33" ht="15.75" customHeight="1">
      <c r="A13" s="602" t="s">
        <v>47</v>
      </c>
      <c r="B13" s="39" t="s">
        <v>79</v>
      </c>
      <c r="C13" s="598" t="s">
        <v>1953</v>
      </c>
      <c r="D13" s="599"/>
      <c r="E13" s="39">
        <v>39.46</v>
      </c>
      <c r="F13" s="388">
        <v>2882</v>
      </c>
      <c r="G13" s="381">
        <f t="shared" si="11"/>
        <v>113723.72</v>
      </c>
      <c r="H13" s="48" t="s">
        <v>126</v>
      </c>
      <c r="I13" s="379">
        <v>16</v>
      </c>
      <c r="J13" s="43">
        <v>1500</v>
      </c>
      <c r="K13" s="18">
        <f t="shared" si="1"/>
        <v>93.75</v>
      </c>
      <c r="L13" s="379">
        <v>16</v>
      </c>
      <c r="M13" s="19">
        <f t="shared" si="12"/>
        <v>1429.0909090909083</v>
      </c>
      <c r="N13" s="18">
        <f t="shared" si="3"/>
        <v>89.31818181818177</v>
      </c>
      <c r="O13" s="20">
        <f t="shared" si="4"/>
        <v>0</v>
      </c>
      <c r="P13" s="21">
        <f t="shared" si="5"/>
        <v>-4.4318181818182296</v>
      </c>
      <c r="Q13" s="380">
        <f t="shared" si="6"/>
        <v>0.9527272727272722</v>
      </c>
      <c r="R13" s="573"/>
      <c r="S13" s="49">
        <v>0.59513888888888866</v>
      </c>
      <c r="T13" s="49">
        <v>0.67916666666666647</v>
      </c>
      <c r="U13" s="381">
        <f t="shared" si="14"/>
        <v>5.9999999999999787</v>
      </c>
      <c r="V13" s="382">
        <f t="shared" si="13"/>
        <v>121.00000000000006</v>
      </c>
      <c r="W13" s="25"/>
      <c r="X13" s="25"/>
      <c r="Y13" s="28"/>
      <c r="Z13" s="28"/>
      <c r="AA13" s="568"/>
      <c r="AB13" s="569"/>
      <c r="AC13" s="50"/>
      <c r="AD13" s="27"/>
      <c r="AE13" s="20">
        <f t="shared" si="8"/>
        <v>-70.909090909091674</v>
      </c>
      <c r="AF13" s="380">
        <f t="shared" si="9"/>
        <v>0.9527272727272722</v>
      </c>
      <c r="AG13" s="573"/>
    </row>
    <row r="14" spans="1:33" ht="16.5" customHeight="1">
      <c r="A14" s="602" t="s">
        <v>47</v>
      </c>
      <c r="B14" s="39" t="s">
        <v>2360</v>
      </c>
      <c r="C14" s="576"/>
      <c r="D14" s="576"/>
      <c r="E14" s="384"/>
      <c r="F14" s="43"/>
      <c r="G14" s="19"/>
      <c r="H14" s="388"/>
      <c r="I14" s="32">
        <v>17</v>
      </c>
      <c r="J14" s="43">
        <v>1500</v>
      </c>
      <c r="K14" s="18">
        <f t="shared" si="1"/>
        <v>88.235294117647058</v>
      </c>
      <c r="L14" s="32">
        <v>17</v>
      </c>
      <c r="M14" s="19">
        <f>AVERAGE(M9:M13)</f>
        <v>1431.4964759980726</v>
      </c>
      <c r="N14" s="18">
        <f t="shared" si="3"/>
        <v>84.205675058710156</v>
      </c>
      <c r="O14" s="20">
        <f t="shared" si="4"/>
        <v>0</v>
      </c>
      <c r="P14" s="21">
        <f t="shared" si="5"/>
        <v>-4.0296190589369019</v>
      </c>
      <c r="Q14" s="380">
        <f t="shared" si="6"/>
        <v>0.95433098399871508</v>
      </c>
      <c r="R14" s="573"/>
      <c r="S14" s="49"/>
      <c r="T14" s="49"/>
      <c r="U14" s="18"/>
      <c r="V14" s="382"/>
      <c r="W14" s="18"/>
      <c r="X14" s="18"/>
      <c r="Y14" s="33">
        <f>SUM(Y9:Y13)</f>
        <v>0</v>
      </c>
      <c r="Z14" s="33">
        <f>SUM(Z9:Z13)</f>
        <v>0</v>
      </c>
      <c r="AA14" s="572"/>
      <c r="AB14" s="572"/>
      <c r="AC14" s="33">
        <v>5</v>
      </c>
      <c r="AD14" s="33">
        <f>SUM(AD9:AD13)</f>
        <v>0</v>
      </c>
      <c r="AE14" s="20">
        <f t="shared" si="8"/>
        <v>-68.503524001927417</v>
      </c>
      <c r="AF14" s="380">
        <f t="shared" si="9"/>
        <v>0.95433098399871508</v>
      </c>
      <c r="AG14" s="573"/>
    </row>
    <row r="15" spans="1:33" ht="16.5" customHeight="1">
      <c r="A15" s="600" t="s">
        <v>50</v>
      </c>
      <c r="B15" s="388" t="s">
        <v>82</v>
      </c>
      <c r="C15" s="594" t="s">
        <v>83</v>
      </c>
      <c r="D15" s="594"/>
      <c r="E15" s="39">
        <v>41</v>
      </c>
      <c r="F15" s="388">
        <v>1534</v>
      </c>
      <c r="G15" s="381">
        <f t="shared" ref="G15:G18" si="15">E15*F15</f>
        <v>62894</v>
      </c>
      <c r="H15" s="48" t="s">
        <v>126</v>
      </c>
      <c r="I15" s="379">
        <v>26</v>
      </c>
      <c r="J15" s="43">
        <v>1500</v>
      </c>
      <c r="K15" s="18">
        <f t="shared" si="1"/>
        <v>57.692307692307693</v>
      </c>
      <c r="L15" s="379">
        <v>26</v>
      </c>
      <c r="M15" s="19">
        <f t="shared" ref="M15:M18" si="16">F15/V15*60</f>
        <v>1438.1250000000007</v>
      </c>
      <c r="N15" s="18">
        <f t="shared" si="3"/>
        <v>55.312500000000028</v>
      </c>
      <c r="O15" s="20">
        <f t="shared" si="4"/>
        <v>0</v>
      </c>
      <c r="P15" s="21">
        <f t="shared" si="5"/>
        <v>-2.379807692307665</v>
      </c>
      <c r="Q15" s="380">
        <f t="shared" si="6"/>
        <v>0.95875000000000044</v>
      </c>
      <c r="R15" s="573">
        <f>Q19</f>
        <v>0.95989928270817348</v>
      </c>
      <c r="S15" s="49">
        <v>0.20833333333333334</v>
      </c>
      <c r="T15" s="49">
        <v>0.25277777777777777</v>
      </c>
      <c r="U15" s="381"/>
      <c r="V15" s="382">
        <f t="shared" ref="V15:V18" si="17">(T15-S15)*24*60</f>
        <v>63.999999999999972</v>
      </c>
      <c r="W15" s="30"/>
      <c r="X15" s="30"/>
      <c r="Y15" s="30"/>
      <c r="Z15" s="30"/>
      <c r="AA15" s="575"/>
      <c r="AB15" s="575"/>
      <c r="AC15" s="50">
        <v>4</v>
      </c>
      <c r="AD15" s="27"/>
      <c r="AE15" s="20">
        <f t="shared" si="8"/>
        <v>-61.874999999999318</v>
      </c>
      <c r="AF15" s="380">
        <f t="shared" si="9"/>
        <v>0.95875000000000044</v>
      </c>
      <c r="AG15" s="573">
        <f>AF19</f>
        <v>0.95989928270817337</v>
      </c>
    </row>
    <row r="16" spans="1:33" ht="16.5" customHeight="1">
      <c r="A16" s="601" t="s">
        <v>1383</v>
      </c>
      <c r="B16" s="388" t="s">
        <v>74</v>
      </c>
      <c r="C16" s="594" t="s">
        <v>85</v>
      </c>
      <c r="D16" s="594"/>
      <c r="E16" s="39">
        <v>53.68</v>
      </c>
      <c r="F16" s="388">
        <v>1119</v>
      </c>
      <c r="G16" s="381">
        <f t="shared" si="15"/>
        <v>60067.92</v>
      </c>
      <c r="H16" s="48" t="s">
        <v>126</v>
      </c>
      <c r="I16" s="379">
        <v>16</v>
      </c>
      <c r="J16" s="43">
        <v>1500</v>
      </c>
      <c r="K16" s="18">
        <f t="shared" si="1"/>
        <v>93.75</v>
      </c>
      <c r="L16" s="379">
        <v>16</v>
      </c>
      <c r="M16" s="19">
        <f t="shared" si="16"/>
        <v>1428.5106382978724</v>
      </c>
      <c r="N16" s="18">
        <f t="shared" si="3"/>
        <v>89.281914893617028</v>
      </c>
      <c r="O16" s="20">
        <f t="shared" si="4"/>
        <v>0</v>
      </c>
      <c r="P16" s="21">
        <f t="shared" si="5"/>
        <v>-4.4680851063829721</v>
      </c>
      <c r="Q16" s="380">
        <f t="shared" si="6"/>
        <v>0.952340425531915</v>
      </c>
      <c r="R16" s="573"/>
      <c r="S16" s="49">
        <v>0.70833333333333337</v>
      </c>
      <c r="T16" s="49">
        <v>0.74097222222222225</v>
      </c>
      <c r="U16" s="381" t="str">
        <f t="shared" ref="U16:U18" si="18">IF(S16=TIME(17,0,0),"",(S16-T15)*24*60)</f>
        <v/>
      </c>
      <c r="V16" s="382">
        <f t="shared" si="17"/>
        <v>46.999999999999993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-71.489361702127553</v>
      </c>
      <c r="AF16" s="380">
        <f t="shared" si="9"/>
        <v>0.952340425531915</v>
      </c>
      <c r="AG16" s="573"/>
    </row>
    <row r="17" spans="1:33" ht="16.5" customHeight="1">
      <c r="A17" s="601" t="s">
        <v>50</v>
      </c>
      <c r="B17" s="388" t="s">
        <v>74</v>
      </c>
      <c r="C17" s="594" t="s">
        <v>78</v>
      </c>
      <c r="D17" s="594"/>
      <c r="E17" s="39">
        <v>52.86</v>
      </c>
      <c r="F17" s="388">
        <v>1449</v>
      </c>
      <c r="G17" s="381">
        <f t="shared" si="15"/>
        <v>76594.14</v>
      </c>
      <c r="H17" s="48" t="s">
        <v>126</v>
      </c>
      <c r="I17" s="379">
        <v>16</v>
      </c>
      <c r="J17" s="43">
        <v>2000</v>
      </c>
      <c r="K17" s="18">
        <f t="shared" si="1"/>
        <v>125</v>
      </c>
      <c r="L17" s="379">
        <v>16</v>
      </c>
      <c r="M17" s="19">
        <f t="shared" si="16"/>
        <v>1932.0000000000002</v>
      </c>
      <c r="N17" s="18">
        <f t="shared" si="3"/>
        <v>120.75000000000001</v>
      </c>
      <c r="O17" s="20">
        <f t="shared" si="4"/>
        <v>0</v>
      </c>
      <c r="P17" s="21">
        <f t="shared" si="5"/>
        <v>-4.2499999999999858</v>
      </c>
      <c r="Q17" s="380">
        <f t="shared" si="6"/>
        <v>0.96600000000000008</v>
      </c>
      <c r="R17" s="573"/>
      <c r="S17" s="49">
        <v>0.74652777777777779</v>
      </c>
      <c r="T17" s="49">
        <v>0.77777777777777779</v>
      </c>
      <c r="U17" s="381">
        <f t="shared" si="18"/>
        <v>7.9999999999999716</v>
      </c>
      <c r="V17" s="382">
        <f t="shared" si="17"/>
        <v>45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-67.999999999999773</v>
      </c>
      <c r="AF17" s="380">
        <f t="shared" si="9"/>
        <v>0.96600000000000008</v>
      </c>
      <c r="AG17" s="573"/>
    </row>
    <row r="18" spans="1:33" ht="16.5" customHeight="1">
      <c r="A18" s="601" t="s">
        <v>50</v>
      </c>
      <c r="B18" s="388" t="s">
        <v>74</v>
      </c>
      <c r="C18" s="594" t="s">
        <v>1826</v>
      </c>
      <c r="D18" s="594"/>
      <c r="E18" s="39">
        <v>51.06</v>
      </c>
      <c r="F18" s="388">
        <v>2913</v>
      </c>
      <c r="G18" s="381">
        <f t="shared" si="15"/>
        <v>148737.78</v>
      </c>
      <c r="H18" s="48" t="s">
        <v>126</v>
      </c>
      <c r="I18" s="379">
        <v>13</v>
      </c>
      <c r="J18" s="43">
        <v>2000</v>
      </c>
      <c r="K18" s="18">
        <f t="shared" si="1"/>
        <v>153.84615384615384</v>
      </c>
      <c r="L18" s="379">
        <v>13</v>
      </c>
      <c r="M18" s="19">
        <f t="shared" si="16"/>
        <v>1920.6593406593408</v>
      </c>
      <c r="N18" s="18">
        <f t="shared" si="3"/>
        <v>147.74302620456467</v>
      </c>
      <c r="O18" s="20">
        <f t="shared" si="4"/>
        <v>0</v>
      </c>
      <c r="P18" s="21">
        <f t="shared" si="5"/>
        <v>-6.1031276415891682</v>
      </c>
      <c r="Q18" s="380">
        <f t="shared" si="6"/>
        <v>0.96032967032967043</v>
      </c>
      <c r="R18" s="573"/>
      <c r="S18" s="49">
        <v>0.78125</v>
      </c>
      <c r="T18" s="49">
        <v>0.84444444444444444</v>
      </c>
      <c r="U18" s="381">
        <f t="shared" si="18"/>
        <v>4.9999999999999822</v>
      </c>
      <c r="V18" s="382">
        <f t="shared" si="17"/>
        <v>91</v>
      </c>
      <c r="W18" s="25"/>
      <c r="X18" s="25"/>
      <c r="Y18" s="25"/>
      <c r="Z18" s="25"/>
      <c r="AA18" s="575"/>
      <c r="AB18" s="575"/>
      <c r="AC18" s="50"/>
      <c r="AD18" s="27"/>
      <c r="AE18" s="20">
        <f t="shared" si="8"/>
        <v>-79.340659340659158</v>
      </c>
      <c r="AF18" s="380">
        <f t="shared" si="9"/>
        <v>0.96032967032967043</v>
      </c>
      <c r="AG18" s="573"/>
    </row>
    <row r="19" spans="1:33" ht="16.5" customHeight="1">
      <c r="A19" s="601" t="s">
        <v>50</v>
      </c>
      <c r="B19" s="39" t="s">
        <v>46</v>
      </c>
      <c r="C19" s="576"/>
      <c r="D19" s="576"/>
      <c r="E19" s="384"/>
      <c r="F19" s="42"/>
      <c r="G19" s="18"/>
      <c r="H19" s="388"/>
      <c r="I19" s="32">
        <v>17.75</v>
      </c>
      <c r="J19" s="43">
        <v>1750</v>
      </c>
      <c r="K19" s="18">
        <f t="shared" si="1"/>
        <v>98.591549295774641</v>
      </c>
      <c r="L19" s="32">
        <v>17.75</v>
      </c>
      <c r="M19" s="19">
        <f>AVERAGE(M15:M18)</f>
        <v>1679.8237447393035</v>
      </c>
      <c r="N19" s="18">
        <f t="shared" si="3"/>
        <v>94.637957450101609</v>
      </c>
      <c r="O19" s="20">
        <f t="shared" si="4"/>
        <v>0</v>
      </c>
      <c r="P19" s="21">
        <f t="shared" si="5"/>
        <v>-3.9535918456730315</v>
      </c>
      <c r="Q19" s="380">
        <f t="shared" si="6"/>
        <v>0.95989928270817348</v>
      </c>
      <c r="R19" s="573"/>
      <c r="S19" s="49"/>
      <c r="T19" s="49"/>
      <c r="U19" s="381"/>
      <c r="V19" s="382"/>
      <c r="W19" s="18"/>
      <c r="X19" s="18"/>
      <c r="Y19" s="33">
        <f>SUM(Y15:Y18)</f>
        <v>0</v>
      </c>
      <c r="Z19" s="33">
        <f>SUM(Z15:Z18)</f>
        <v>0</v>
      </c>
      <c r="AA19" s="572"/>
      <c r="AB19" s="572"/>
      <c r="AC19" s="33">
        <v>4</v>
      </c>
      <c r="AD19" s="33">
        <f>SUM(AD15:AD18)</f>
        <v>0</v>
      </c>
      <c r="AE19" s="20">
        <f t="shared" si="8"/>
        <v>-70.176255260696507</v>
      </c>
      <c r="AF19" s="380">
        <f t="shared" si="9"/>
        <v>0.95989928270817337</v>
      </c>
      <c r="AG19" s="573"/>
    </row>
    <row r="20" spans="1:33" ht="15.75" customHeight="1">
      <c r="A20" s="596" t="s">
        <v>53</v>
      </c>
      <c r="B20" s="39" t="s">
        <v>74</v>
      </c>
      <c r="C20" s="594" t="s">
        <v>84</v>
      </c>
      <c r="D20" s="594"/>
      <c r="E20" s="39">
        <v>54.09</v>
      </c>
      <c r="F20" s="388">
        <v>1572</v>
      </c>
      <c r="G20" s="381">
        <f t="shared" ref="G20:G25" si="19">E20*F20</f>
        <v>85029.48000000001</v>
      </c>
      <c r="H20" s="48" t="s">
        <v>126</v>
      </c>
      <c r="I20" s="379">
        <v>17</v>
      </c>
      <c r="J20" s="43">
        <v>1500</v>
      </c>
      <c r="K20" s="18">
        <f t="shared" si="1"/>
        <v>88.235294117647058</v>
      </c>
      <c r="L20" s="379">
        <v>17</v>
      </c>
      <c r="M20" s="19">
        <f t="shared" ref="M20:M25" si="20">F20/V20*60</f>
        <v>1429.0909090909097</v>
      </c>
      <c r="N20" s="18">
        <f t="shared" si="3"/>
        <v>84.064171122994694</v>
      </c>
      <c r="O20" s="20">
        <f t="shared" si="4"/>
        <v>0</v>
      </c>
      <c r="P20" s="21">
        <f t="shared" si="5"/>
        <v>-4.1711229946523645</v>
      </c>
      <c r="Q20" s="380">
        <f t="shared" si="6"/>
        <v>0.9527272727272732</v>
      </c>
      <c r="R20" s="573">
        <f>Q26</f>
        <v>0.95874189818343114</v>
      </c>
      <c r="S20" s="49">
        <v>0.20833333333333334</v>
      </c>
      <c r="T20" s="49">
        <v>0.25416666666666665</v>
      </c>
      <c r="U20" s="381"/>
      <c r="V20" s="382">
        <f t="shared" ref="V20:V25" si="21">(T20-S20)*24*60</f>
        <v>65.999999999999972</v>
      </c>
      <c r="W20" s="30"/>
      <c r="X20" s="30"/>
      <c r="Y20" s="30"/>
      <c r="Z20" s="30"/>
      <c r="AA20" s="575"/>
      <c r="AB20" s="575"/>
      <c r="AC20" s="50">
        <v>6</v>
      </c>
      <c r="AD20" s="27"/>
      <c r="AE20" s="20">
        <f t="shared" si="8"/>
        <v>-70.90909090909031</v>
      </c>
      <c r="AF20" s="380">
        <f t="shared" si="9"/>
        <v>0.95272727272727309</v>
      </c>
      <c r="AG20" s="573">
        <f>AF26</f>
        <v>0.95874189818343114</v>
      </c>
    </row>
    <row r="21" spans="1:33" ht="15.75" customHeight="1">
      <c r="A21" s="597" t="s">
        <v>1113</v>
      </c>
      <c r="B21" s="39" t="s">
        <v>74</v>
      </c>
      <c r="C21" s="594" t="s">
        <v>89</v>
      </c>
      <c r="D21" s="594"/>
      <c r="E21" s="39">
        <v>50.67</v>
      </c>
      <c r="F21" s="388">
        <v>1710</v>
      </c>
      <c r="G21" s="381">
        <f t="shared" si="19"/>
        <v>86645.7</v>
      </c>
      <c r="H21" s="48" t="s">
        <v>126</v>
      </c>
      <c r="I21" s="379">
        <v>17</v>
      </c>
      <c r="J21" s="43">
        <v>2000</v>
      </c>
      <c r="K21" s="18">
        <f t="shared" si="1"/>
        <v>117.64705882352941</v>
      </c>
      <c r="L21" s="379">
        <v>17</v>
      </c>
      <c r="M21" s="19">
        <f t="shared" si="20"/>
        <v>1935.8490566037747</v>
      </c>
      <c r="N21" s="18">
        <f t="shared" si="3"/>
        <v>113.87347391786909</v>
      </c>
      <c r="O21" s="20">
        <f t="shared" si="4"/>
        <v>0</v>
      </c>
      <c r="P21" s="21">
        <f t="shared" si="5"/>
        <v>-3.7735849056603143</v>
      </c>
      <c r="Q21" s="380">
        <f t="shared" si="6"/>
        <v>0.96792452830188735</v>
      </c>
      <c r="R21" s="573"/>
      <c r="S21" s="49">
        <v>0.25763888888888886</v>
      </c>
      <c r="T21" s="49">
        <v>0.2944444444444444</v>
      </c>
      <c r="U21" s="381">
        <f t="shared" ref="U21:U25" si="22">IF(S21=TIME(17,0,0),"",(S21-T20)*24*60)</f>
        <v>4.9999999999999822</v>
      </c>
      <c r="V21" s="382">
        <f t="shared" si="21"/>
        <v>52.999999999999972</v>
      </c>
      <c r="W21" s="25"/>
      <c r="X21" s="381"/>
      <c r="Y21" s="381"/>
      <c r="Z21" s="381"/>
      <c r="AA21" s="575"/>
      <c r="AB21" s="575"/>
      <c r="AC21" s="50"/>
      <c r="AD21" s="27"/>
      <c r="AE21" s="20">
        <f t="shared" si="8"/>
        <v>-64.15094339622533</v>
      </c>
      <c r="AF21" s="380">
        <f t="shared" si="9"/>
        <v>0.96792452830188735</v>
      </c>
      <c r="AG21" s="573"/>
    </row>
    <row r="22" spans="1:33" ht="15.75" customHeight="1">
      <c r="A22" s="597" t="s">
        <v>53</v>
      </c>
      <c r="B22" s="39" t="s">
        <v>74</v>
      </c>
      <c r="C22" s="594" t="s">
        <v>90</v>
      </c>
      <c r="D22" s="594"/>
      <c r="E22" s="39">
        <v>57.73</v>
      </c>
      <c r="F22" s="388">
        <v>2055</v>
      </c>
      <c r="G22" s="381">
        <f t="shared" si="19"/>
        <v>118635.15</v>
      </c>
      <c r="H22" s="48" t="s">
        <v>126</v>
      </c>
      <c r="I22" s="379">
        <v>14</v>
      </c>
      <c r="J22" s="43">
        <v>2000</v>
      </c>
      <c r="K22" s="18">
        <f t="shared" si="1"/>
        <v>142.85714285714286</v>
      </c>
      <c r="L22" s="379">
        <v>14</v>
      </c>
      <c r="M22" s="19">
        <f t="shared" si="20"/>
        <v>1926.5624999999995</v>
      </c>
      <c r="N22" s="18">
        <f t="shared" si="3"/>
        <v>137.61160714285711</v>
      </c>
      <c r="O22" s="20">
        <f t="shared" si="4"/>
        <v>0</v>
      </c>
      <c r="P22" s="21">
        <f t="shared" si="5"/>
        <v>-5.2455357142857508</v>
      </c>
      <c r="Q22" s="380">
        <f t="shared" si="6"/>
        <v>0.96328124999999976</v>
      </c>
      <c r="R22" s="573"/>
      <c r="S22" s="49">
        <v>0.29999999999999993</v>
      </c>
      <c r="T22" s="49">
        <v>0.34444444444444439</v>
      </c>
      <c r="U22" s="381">
        <f t="shared" si="22"/>
        <v>7.9999999999999716</v>
      </c>
      <c r="V22" s="382">
        <f t="shared" si="21"/>
        <v>64.000000000000014</v>
      </c>
      <c r="W22" s="25"/>
      <c r="X22" s="381"/>
      <c r="Y22" s="381"/>
      <c r="Z22" s="381"/>
      <c r="AA22" s="575"/>
      <c r="AB22" s="575"/>
      <c r="AC22" s="50"/>
      <c r="AD22" s="27"/>
      <c r="AE22" s="20">
        <f t="shared" si="8"/>
        <v>-73.437500000000455</v>
      </c>
      <c r="AF22" s="380">
        <f t="shared" si="9"/>
        <v>0.96328124999999976</v>
      </c>
      <c r="AG22" s="573"/>
    </row>
    <row r="23" spans="1:33" ht="15.75" customHeight="1">
      <c r="A23" s="597" t="s">
        <v>53</v>
      </c>
      <c r="B23" s="39" t="s">
        <v>74</v>
      </c>
      <c r="C23" s="594" t="s">
        <v>1232</v>
      </c>
      <c r="D23" s="594"/>
      <c r="E23" s="39">
        <v>53.27</v>
      </c>
      <c r="F23" s="388">
        <v>2196</v>
      </c>
      <c r="G23" s="381">
        <f t="shared" si="19"/>
        <v>116980.92000000001</v>
      </c>
      <c r="H23" s="48" t="s">
        <v>126</v>
      </c>
      <c r="I23" s="379">
        <v>16</v>
      </c>
      <c r="J23" s="43">
        <v>2000</v>
      </c>
      <c r="K23" s="18">
        <f t="shared" si="1"/>
        <v>125</v>
      </c>
      <c r="L23" s="379">
        <v>16</v>
      </c>
      <c r="M23" s="19">
        <f t="shared" si="20"/>
        <v>1909.5652173913043</v>
      </c>
      <c r="N23" s="18">
        <f t="shared" si="3"/>
        <v>119.34782608695652</v>
      </c>
      <c r="O23" s="20">
        <f t="shared" si="4"/>
        <v>0</v>
      </c>
      <c r="P23" s="21">
        <f t="shared" si="5"/>
        <v>-5.6521739130434838</v>
      </c>
      <c r="Q23" s="380">
        <f t="shared" si="6"/>
        <v>0.95478260869565212</v>
      </c>
      <c r="R23" s="573"/>
      <c r="S23" s="49">
        <v>0.34930555555555548</v>
      </c>
      <c r="T23" s="49">
        <v>0.39722222222222214</v>
      </c>
      <c r="U23" s="381">
        <f t="shared" si="22"/>
        <v>6.9999999999999751</v>
      </c>
      <c r="V23" s="382">
        <f t="shared" si="21"/>
        <v>69</v>
      </c>
      <c r="W23" s="25"/>
      <c r="X23" s="381"/>
      <c r="Y23" s="381"/>
      <c r="Z23" s="381"/>
      <c r="AA23" s="575"/>
      <c r="AB23" s="575"/>
      <c r="AC23" s="50"/>
      <c r="AD23" s="27"/>
      <c r="AE23" s="20">
        <f t="shared" si="8"/>
        <v>-90.434782608695741</v>
      </c>
      <c r="AF23" s="380">
        <f t="shared" si="9"/>
        <v>0.95478260869565212</v>
      </c>
      <c r="AG23" s="573"/>
    </row>
    <row r="24" spans="1:33" ht="15.75" customHeight="1">
      <c r="A24" s="597" t="s">
        <v>2362</v>
      </c>
      <c r="B24" s="39" t="s">
        <v>74</v>
      </c>
      <c r="C24" s="594" t="s">
        <v>92</v>
      </c>
      <c r="D24" s="594"/>
      <c r="E24" s="39">
        <v>50.49</v>
      </c>
      <c r="F24" s="388">
        <v>1870</v>
      </c>
      <c r="G24" s="381">
        <f t="shared" si="19"/>
        <v>94416.3</v>
      </c>
      <c r="H24" s="48" t="s">
        <v>126</v>
      </c>
      <c r="I24" s="379">
        <v>15</v>
      </c>
      <c r="J24" s="43">
        <v>2000</v>
      </c>
      <c r="K24" s="18">
        <f t="shared" si="1"/>
        <v>133.33333333333334</v>
      </c>
      <c r="L24" s="379">
        <v>15</v>
      </c>
      <c r="M24" s="19">
        <f t="shared" si="20"/>
        <v>1901.6949152542388</v>
      </c>
      <c r="N24" s="18">
        <f t="shared" si="3"/>
        <v>126.77966101694925</v>
      </c>
      <c r="O24" s="20">
        <f t="shared" si="4"/>
        <v>0</v>
      </c>
      <c r="P24" s="21">
        <f t="shared" si="5"/>
        <v>-6.5536723163840946</v>
      </c>
      <c r="Q24" s="380">
        <f t="shared" si="6"/>
        <v>0.95084745762711931</v>
      </c>
      <c r="R24" s="573"/>
      <c r="S24" s="49">
        <v>0.70833333333333337</v>
      </c>
      <c r="T24" s="49">
        <v>0.74930555555555556</v>
      </c>
      <c r="U24" s="381" t="str">
        <f t="shared" si="22"/>
        <v/>
      </c>
      <c r="V24" s="382">
        <f t="shared" si="21"/>
        <v>58.99999999999995</v>
      </c>
      <c r="W24" s="25"/>
      <c r="X24" s="25"/>
      <c r="Y24" s="381"/>
      <c r="Z24" s="381"/>
      <c r="AA24" s="575"/>
      <c r="AB24" s="575"/>
      <c r="AC24" s="50"/>
      <c r="AD24" s="27"/>
      <c r="AE24" s="20">
        <f t="shared" si="8"/>
        <v>-98.305084745761178</v>
      </c>
      <c r="AF24" s="380">
        <f t="shared" si="9"/>
        <v>0.95084745762711942</v>
      </c>
      <c r="AG24" s="573"/>
    </row>
    <row r="25" spans="1:33" ht="15.75" customHeight="1">
      <c r="A25" s="597" t="s">
        <v>53</v>
      </c>
      <c r="B25" s="39" t="s">
        <v>74</v>
      </c>
      <c r="C25" s="594" t="s">
        <v>93</v>
      </c>
      <c r="D25" s="594"/>
      <c r="E25" s="39">
        <v>50.98</v>
      </c>
      <c r="F25" s="388">
        <v>2083</v>
      </c>
      <c r="G25" s="381">
        <f t="shared" si="19"/>
        <v>106191.34</v>
      </c>
      <c r="H25" s="48" t="s">
        <v>126</v>
      </c>
      <c r="I25" s="379">
        <v>16</v>
      </c>
      <c r="J25" s="43">
        <v>2000</v>
      </c>
      <c r="K25" s="18">
        <f t="shared" si="1"/>
        <v>125</v>
      </c>
      <c r="L25" s="379">
        <v>16</v>
      </c>
      <c r="M25" s="19">
        <f t="shared" si="20"/>
        <v>1922.7692307692328</v>
      </c>
      <c r="N25" s="18">
        <f t="shared" si="3"/>
        <v>120.17307692307705</v>
      </c>
      <c r="O25" s="20">
        <f t="shared" si="4"/>
        <v>0</v>
      </c>
      <c r="P25" s="21">
        <f t="shared" si="5"/>
        <v>-4.8269230769229523</v>
      </c>
      <c r="Q25" s="380">
        <f t="shared" si="6"/>
        <v>0.96138461538461639</v>
      </c>
      <c r="R25" s="573"/>
      <c r="S25" s="49">
        <v>0.75277777777777777</v>
      </c>
      <c r="T25" s="49">
        <v>0.79791666666666661</v>
      </c>
      <c r="U25" s="381">
        <f t="shared" si="22"/>
        <v>4.9999999999999822</v>
      </c>
      <c r="V25" s="382">
        <f t="shared" si="21"/>
        <v>64.999999999999929</v>
      </c>
      <c r="W25" s="25"/>
      <c r="X25" s="30"/>
      <c r="Y25" s="30"/>
      <c r="Z25" s="30"/>
      <c r="AA25" s="575"/>
      <c r="AB25" s="575"/>
      <c r="AC25" s="50"/>
      <c r="AD25" s="27"/>
      <c r="AE25" s="20">
        <f t="shared" si="8"/>
        <v>-77.230769230767237</v>
      </c>
      <c r="AF25" s="380">
        <f t="shared" si="9"/>
        <v>0.96138461538461639</v>
      </c>
      <c r="AG25" s="573"/>
    </row>
    <row r="26" spans="1:33" ht="15.75" customHeight="1">
      <c r="A26" s="597" t="s">
        <v>1113</v>
      </c>
      <c r="B26" s="39" t="s">
        <v>2363</v>
      </c>
      <c r="C26" s="576"/>
      <c r="D26" s="576"/>
      <c r="E26" s="384"/>
      <c r="F26" s="388"/>
      <c r="G26" s="381"/>
      <c r="H26" s="388"/>
      <c r="I26" s="32">
        <v>15.833333333333334</v>
      </c>
      <c r="J26" s="43">
        <v>1916.6666666666667</v>
      </c>
      <c r="K26" s="18">
        <f t="shared" si="1"/>
        <v>121.05263157894737</v>
      </c>
      <c r="L26" s="32">
        <v>15.833333333333334</v>
      </c>
      <c r="M26" s="19">
        <f>AVERAGE(M20:M25)</f>
        <v>1837.5886381849098</v>
      </c>
      <c r="N26" s="18">
        <f t="shared" si="3"/>
        <v>116.05822978009957</v>
      </c>
      <c r="O26" s="20">
        <f t="shared" si="4"/>
        <v>0</v>
      </c>
      <c r="P26" s="21">
        <f t="shared" si="5"/>
        <v>-4.9944017988478038</v>
      </c>
      <c r="Q26" s="380">
        <f t="shared" si="6"/>
        <v>0.95874189818343114</v>
      </c>
      <c r="R26" s="573"/>
      <c r="S26" s="49"/>
      <c r="T26" s="49"/>
      <c r="U26" s="18"/>
      <c r="V26" s="382"/>
      <c r="W26" s="18"/>
      <c r="X26" s="18"/>
      <c r="Y26" s="33">
        <f>SUM(Y20:Y25)</f>
        <v>0</v>
      </c>
      <c r="Z26" s="33">
        <f>SUM(Z20:Z25)</f>
        <v>0</v>
      </c>
      <c r="AA26" s="572"/>
      <c r="AB26" s="572"/>
      <c r="AC26" s="33">
        <v>6</v>
      </c>
      <c r="AD26" s="33">
        <f>SUM(AD20:AD25)</f>
        <v>0</v>
      </c>
      <c r="AE26" s="20">
        <f t="shared" si="8"/>
        <v>-79.078028481756974</v>
      </c>
      <c r="AF26" s="380">
        <f t="shared" si="9"/>
        <v>0.95874189818343114</v>
      </c>
      <c r="AG26" s="573"/>
    </row>
    <row r="27" spans="1:33" ht="15.75" customHeight="1">
      <c r="A27" s="595" t="s">
        <v>55</v>
      </c>
      <c r="B27" s="39" t="s">
        <v>94</v>
      </c>
      <c r="C27" s="594" t="s">
        <v>95</v>
      </c>
      <c r="D27" s="594"/>
      <c r="E27" s="39">
        <v>31.29</v>
      </c>
      <c r="F27" s="388">
        <v>4700</v>
      </c>
      <c r="G27" s="381">
        <f t="shared" ref="G27:G33" si="23">E27*F27</f>
        <v>147063</v>
      </c>
      <c r="H27" s="48">
        <v>2</v>
      </c>
      <c r="I27" s="379">
        <v>18</v>
      </c>
      <c r="J27" s="43">
        <v>2400</v>
      </c>
      <c r="K27" s="18">
        <f t="shared" si="1"/>
        <v>133.33333333333334</v>
      </c>
      <c r="L27" s="379">
        <v>18</v>
      </c>
      <c r="M27" s="19">
        <f t="shared" ref="M27:M33" si="24">F27/V27*60</f>
        <v>2292.6829268292686</v>
      </c>
      <c r="N27" s="18">
        <f t="shared" si="3"/>
        <v>127.37127371273715</v>
      </c>
      <c r="O27" s="20">
        <f t="shared" si="4"/>
        <v>0</v>
      </c>
      <c r="P27" s="21">
        <f t="shared" si="5"/>
        <v>-5.9620596205961931</v>
      </c>
      <c r="Q27" s="380">
        <f t="shared" si="6"/>
        <v>0.9552845528455286</v>
      </c>
      <c r="R27" s="573">
        <f>Q34</f>
        <v>0.95531554924380246</v>
      </c>
      <c r="S27" s="49">
        <v>8.3333333333333329E-2</v>
      </c>
      <c r="T27" s="49">
        <v>0.16874999999999998</v>
      </c>
      <c r="U27" s="381"/>
      <c r="V27" s="382">
        <f t="shared" ref="V27:V33" si="25">(T27-S27)*24*60</f>
        <v>122.99999999999999</v>
      </c>
      <c r="W27" s="25">
        <f>T27</f>
        <v>0.16874999999999998</v>
      </c>
      <c r="X27" s="25">
        <f>S28</f>
        <v>0.18680555555555553</v>
      </c>
      <c r="Y27" s="25"/>
      <c r="Z27" s="25"/>
      <c r="AA27" s="575"/>
      <c r="AB27" s="575"/>
      <c r="AC27" s="50">
        <v>7</v>
      </c>
      <c r="AD27" s="27"/>
      <c r="AE27" s="20">
        <f t="shared" si="8"/>
        <v>-107.31707317073142</v>
      </c>
      <c r="AF27" s="380">
        <f t="shared" si="9"/>
        <v>0.9552845528455286</v>
      </c>
      <c r="AG27" s="573">
        <f>AF34</f>
        <v>0.95531554924380258</v>
      </c>
    </row>
    <row r="28" spans="1:33" ht="15.75" customHeight="1">
      <c r="A28" s="595" t="s">
        <v>2364</v>
      </c>
      <c r="B28" s="39" t="s">
        <v>94</v>
      </c>
      <c r="C28" s="594" t="s">
        <v>97</v>
      </c>
      <c r="D28" s="594"/>
      <c r="E28" s="39">
        <v>26.37</v>
      </c>
      <c r="F28" s="388">
        <v>5867</v>
      </c>
      <c r="G28" s="381">
        <f t="shared" si="23"/>
        <v>154712.79</v>
      </c>
      <c r="H28" s="48" t="s">
        <v>126</v>
      </c>
      <c r="I28" s="379">
        <v>18</v>
      </c>
      <c r="J28" s="43">
        <v>2400</v>
      </c>
      <c r="K28" s="18">
        <f t="shared" si="1"/>
        <v>133.33333333333334</v>
      </c>
      <c r="L28" s="379">
        <v>18</v>
      </c>
      <c r="M28" s="19">
        <f t="shared" si="24"/>
        <v>2285.8441558441559</v>
      </c>
      <c r="N28" s="18">
        <f t="shared" si="3"/>
        <v>126.991341991342</v>
      </c>
      <c r="O28" s="20">
        <f t="shared" si="4"/>
        <v>0</v>
      </c>
      <c r="P28" s="21">
        <f t="shared" si="5"/>
        <v>-6.3419913419913456</v>
      </c>
      <c r="Q28" s="380">
        <f t="shared" si="6"/>
        <v>0.95243506493506491</v>
      </c>
      <c r="R28" s="573"/>
      <c r="S28" s="49">
        <v>0.18680555555555553</v>
      </c>
      <c r="T28" s="49">
        <v>0.29374999999999996</v>
      </c>
      <c r="U28" s="381">
        <f t="shared" ref="U28:U33" si="26">(S28-T27)*24*60</f>
        <v>25.999999999999986</v>
      </c>
      <c r="V28" s="382">
        <f t="shared" si="25"/>
        <v>154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-114.15584415584408</v>
      </c>
      <c r="AF28" s="380">
        <f t="shared" si="9"/>
        <v>0.95243506493506491</v>
      </c>
      <c r="AG28" s="573"/>
    </row>
    <row r="29" spans="1:33" ht="15.75" customHeight="1">
      <c r="A29" s="595" t="s">
        <v>2365</v>
      </c>
      <c r="B29" s="39" t="s">
        <v>94</v>
      </c>
      <c r="C29" s="594" t="s">
        <v>1231</v>
      </c>
      <c r="D29" s="594"/>
      <c r="E29" s="39">
        <v>25.99</v>
      </c>
      <c r="F29" s="388">
        <v>3993</v>
      </c>
      <c r="G29" s="381">
        <f t="shared" si="23"/>
        <v>103778.06999999999</v>
      </c>
      <c r="H29" s="48" t="s">
        <v>126</v>
      </c>
      <c r="I29" s="379">
        <v>18</v>
      </c>
      <c r="J29" s="43">
        <v>2400</v>
      </c>
      <c r="K29" s="18">
        <f t="shared" si="1"/>
        <v>133.33333333333334</v>
      </c>
      <c r="L29" s="379">
        <v>18</v>
      </c>
      <c r="M29" s="19">
        <f t="shared" si="24"/>
        <v>2303.6538461538457</v>
      </c>
      <c r="N29" s="18">
        <f t="shared" si="3"/>
        <v>127.98076923076921</v>
      </c>
      <c r="O29" s="20">
        <f t="shared" si="4"/>
        <v>0</v>
      </c>
      <c r="P29" s="21">
        <f t="shared" si="5"/>
        <v>-5.3525641025641306</v>
      </c>
      <c r="Q29" s="380">
        <f t="shared" si="6"/>
        <v>0.95985576923076898</v>
      </c>
      <c r="R29" s="573"/>
      <c r="S29" s="49">
        <v>0.29930555555555549</v>
      </c>
      <c r="T29" s="49">
        <v>0.37152777777777773</v>
      </c>
      <c r="U29" s="381">
        <f t="shared" si="26"/>
        <v>7.9999999999999716</v>
      </c>
      <c r="V29" s="382">
        <f t="shared" si="25"/>
        <v>104.00000000000003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-96.346153846154266</v>
      </c>
      <c r="AF29" s="380">
        <f t="shared" si="9"/>
        <v>0.9598557692307691</v>
      </c>
      <c r="AG29" s="573"/>
    </row>
    <row r="30" spans="1:33" ht="15.75" customHeight="1">
      <c r="A30" s="595" t="s">
        <v>2364</v>
      </c>
      <c r="B30" s="39" t="s">
        <v>94</v>
      </c>
      <c r="C30" s="594" t="s">
        <v>529</v>
      </c>
      <c r="D30" s="594"/>
      <c r="E30" s="39">
        <v>26.18</v>
      </c>
      <c r="F30" s="388">
        <v>4000</v>
      </c>
      <c r="G30" s="381">
        <f t="shared" si="23"/>
        <v>104720</v>
      </c>
      <c r="H30" s="48">
        <v>2</v>
      </c>
      <c r="I30" s="379">
        <v>18</v>
      </c>
      <c r="J30" s="43">
        <v>2400</v>
      </c>
      <c r="K30" s="18">
        <f t="shared" si="1"/>
        <v>133.33333333333334</v>
      </c>
      <c r="L30" s="379">
        <v>18</v>
      </c>
      <c r="M30" s="19">
        <f t="shared" si="24"/>
        <v>2285.7142857142853</v>
      </c>
      <c r="N30" s="18">
        <f t="shared" si="3"/>
        <v>126.98412698412696</v>
      </c>
      <c r="O30" s="20">
        <f t="shared" si="4"/>
        <v>0</v>
      </c>
      <c r="P30" s="21">
        <f t="shared" si="5"/>
        <v>-6.3492063492063835</v>
      </c>
      <c r="Q30" s="380">
        <f t="shared" si="6"/>
        <v>0.95238095238095211</v>
      </c>
      <c r="R30" s="573"/>
      <c r="S30" s="49">
        <v>0.37708333333333327</v>
      </c>
      <c r="T30" s="49">
        <v>0.44999999999999996</v>
      </c>
      <c r="U30" s="381">
        <f t="shared" si="26"/>
        <v>7.9999999999999716</v>
      </c>
      <c r="V30" s="382">
        <f t="shared" si="25"/>
        <v>105.00000000000003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-114.28571428571468</v>
      </c>
      <c r="AF30" s="380">
        <f t="shared" si="9"/>
        <v>0.95238095238095222</v>
      </c>
      <c r="AG30" s="573"/>
    </row>
    <row r="31" spans="1:33" ht="15.75" customHeight="1">
      <c r="A31" s="595" t="s">
        <v>55</v>
      </c>
      <c r="B31" s="39" t="s">
        <v>94</v>
      </c>
      <c r="C31" s="594" t="s">
        <v>98</v>
      </c>
      <c r="D31" s="594"/>
      <c r="E31" s="39">
        <v>25.99</v>
      </c>
      <c r="F31" s="388">
        <v>3395</v>
      </c>
      <c r="G31" s="381">
        <f t="shared" si="23"/>
        <v>88236.049999999988</v>
      </c>
      <c r="H31" s="48" t="s">
        <v>126</v>
      </c>
      <c r="I31" s="379">
        <v>14</v>
      </c>
      <c r="J31" s="43">
        <v>2400</v>
      </c>
      <c r="K31" s="18">
        <f t="shared" si="1"/>
        <v>171.42857142857142</v>
      </c>
      <c r="L31" s="379">
        <v>14</v>
      </c>
      <c r="M31" s="19">
        <f t="shared" si="24"/>
        <v>2288.76404494382</v>
      </c>
      <c r="N31" s="18">
        <f t="shared" si="3"/>
        <v>163.4831460674157</v>
      </c>
      <c r="O31" s="20">
        <f t="shared" si="4"/>
        <v>0</v>
      </c>
      <c r="P31" s="21">
        <f t="shared" si="5"/>
        <v>-7.9454253611557135</v>
      </c>
      <c r="Q31" s="380">
        <f t="shared" si="6"/>
        <v>0.95365168539325829</v>
      </c>
      <c r="R31" s="573"/>
      <c r="S31" s="49">
        <v>0.45347222222222217</v>
      </c>
      <c r="T31" s="49">
        <v>0.51527777777777772</v>
      </c>
      <c r="U31" s="381">
        <f t="shared" si="26"/>
        <v>4.9999999999999822</v>
      </c>
      <c r="V31" s="382">
        <f t="shared" si="25"/>
        <v>89</v>
      </c>
      <c r="W31" s="25">
        <f>T31</f>
        <v>0.51527777777777772</v>
      </c>
      <c r="X31" s="25">
        <f>S32</f>
        <v>0.55555555555555547</v>
      </c>
      <c r="Y31" s="25"/>
      <c r="Z31" s="25"/>
      <c r="AA31" s="575"/>
      <c r="AB31" s="575"/>
      <c r="AC31" s="50"/>
      <c r="AD31" s="27"/>
      <c r="AE31" s="20">
        <f t="shared" si="8"/>
        <v>-111.23595505618005</v>
      </c>
      <c r="AF31" s="380">
        <f t="shared" si="9"/>
        <v>0.95365168539325829</v>
      </c>
      <c r="AG31" s="573"/>
    </row>
    <row r="32" spans="1:33" ht="15.75" customHeight="1">
      <c r="A32" s="595" t="s">
        <v>2364</v>
      </c>
      <c r="B32" s="39" t="s">
        <v>94</v>
      </c>
      <c r="C32" s="594" t="s">
        <v>95</v>
      </c>
      <c r="D32" s="594"/>
      <c r="E32" s="39">
        <v>31.29</v>
      </c>
      <c r="F32" s="388">
        <v>3422</v>
      </c>
      <c r="G32" s="381">
        <f t="shared" si="23"/>
        <v>107074.37999999999</v>
      </c>
      <c r="H32" s="48" t="s">
        <v>126</v>
      </c>
      <c r="I32" s="379">
        <v>18</v>
      </c>
      <c r="J32" s="43">
        <v>2400</v>
      </c>
      <c r="K32" s="18">
        <f t="shared" si="1"/>
        <v>133.33333333333334</v>
      </c>
      <c r="L32" s="379">
        <v>18</v>
      </c>
      <c r="M32" s="19">
        <f t="shared" si="24"/>
        <v>2306.9662921348317</v>
      </c>
      <c r="N32" s="18">
        <f t="shared" si="3"/>
        <v>128.16479400749066</v>
      </c>
      <c r="O32" s="20">
        <f t="shared" si="4"/>
        <v>0</v>
      </c>
      <c r="P32" s="21">
        <f t="shared" si="5"/>
        <v>-5.168539325842687</v>
      </c>
      <c r="Q32" s="380">
        <f t="shared" si="6"/>
        <v>0.96123595505617987</v>
      </c>
      <c r="R32" s="573"/>
      <c r="S32" s="49">
        <v>0.55555555555555547</v>
      </c>
      <c r="T32" s="49">
        <v>0.61736111111111103</v>
      </c>
      <c r="U32" s="381">
        <f t="shared" si="26"/>
        <v>57.999999999999957</v>
      </c>
      <c r="V32" s="382">
        <f t="shared" si="25"/>
        <v>89</v>
      </c>
      <c r="W32" s="25"/>
      <c r="X32" s="25"/>
      <c r="Y32" s="25"/>
      <c r="Z32" s="25"/>
      <c r="AA32" s="575"/>
      <c r="AB32" s="575"/>
      <c r="AC32" s="50"/>
      <c r="AD32" s="27"/>
      <c r="AE32" s="20">
        <f t="shared" si="8"/>
        <v>-93.033707865168253</v>
      </c>
      <c r="AF32" s="380">
        <f t="shared" si="9"/>
        <v>0.96123595505617987</v>
      </c>
      <c r="AG32" s="573"/>
    </row>
    <row r="33" spans="1:33" ht="15.75" customHeight="1">
      <c r="A33" s="595" t="s">
        <v>55</v>
      </c>
      <c r="B33" s="39" t="s">
        <v>94</v>
      </c>
      <c r="C33" s="594" t="s">
        <v>529</v>
      </c>
      <c r="D33" s="594"/>
      <c r="E33" s="39">
        <v>26.18</v>
      </c>
      <c r="F33" s="388">
        <v>2819</v>
      </c>
      <c r="G33" s="381">
        <f t="shared" si="23"/>
        <v>73801.42</v>
      </c>
      <c r="H33" s="48" t="s">
        <v>126</v>
      </c>
      <c r="I33" s="379">
        <v>18</v>
      </c>
      <c r="J33" s="43">
        <v>2400</v>
      </c>
      <c r="K33" s="18">
        <f t="shared" si="1"/>
        <v>133.33333333333334</v>
      </c>
      <c r="L33" s="379">
        <v>18</v>
      </c>
      <c r="M33" s="19">
        <f t="shared" si="24"/>
        <v>2285.675675675674</v>
      </c>
      <c r="N33" s="18">
        <f t="shared" si="3"/>
        <v>126.98198198198189</v>
      </c>
      <c r="O33" s="20">
        <f t="shared" si="4"/>
        <v>0</v>
      </c>
      <c r="P33" s="21">
        <f t="shared" si="5"/>
        <v>-6.3513513513514539</v>
      </c>
      <c r="Q33" s="380">
        <f t="shared" si="6"/>
        <v>0.95236486486486405</v>
      </c>
      <c r="R33" s="573"/>
      <c r="S33" s="49">
        <v>0.62222222222222212</v>
      </c>
      <c r="T33" s="49">
        <v>0.67361111111111105</v>
      </c>
      <c r="U33" s="381">
        <f t="shared" si="26"/>
        <v>6.9999999999999751</v>
      </c>
      <c r="V33" s="382">
        <f t="shared" si="25"/>
        <v>74.000000000000057</v>
      </c>
      <c r="W33" s="25"/>
      <c r="X33" s="25"/>
      <c r="Y33" s="25"/>
      <c r="Z33" s="25"/>
      <c r="AA33" s="575"/>
      <c r="AB33" s="575"/>
      <c r="AC33" s="50"/>
      <c r="AD33" s="27"/>
      <c r="AE33" s="20">
        <f t="shared" si="8"/>
        <v>-114.32432432432597</v>
      </c>
      <c r="AF33" s="380">
        <f t="shared" si="9"/>
        <v>0.95236486486486416</v>
      </c>
      <c r="AG33" s="573"/>
    </row>
    <row r="34" spans="1:33" ht="15.75" customHeight="1">
      <c r="A34" s="595" t="s">
        <v>55</v>
      </c>
      <c r="B34" s="39" t="s">
        <v>2366</v>
      </c>
      <c r="C34" s="576"/>
      <c r="D34" s="576"/>
      <c r="E34" s="384"/>
      <c r="F34" s="388"/>
      <c r="G34" s="381"/>
      <c r="H34" s="388"/>
      <c r="I34" s="32">
        <v>17.428571428571427</v>
      </c>
      <c r="J34" s="43">
        <v>2400</v>
      </c>
      <c r="K34" s="18">
        <f t="shared" si="1"/>
        <v>137.70491803278691</v>
      </c>
      <c r="L34" s="32">
        <v>17.428571428571427</v>
      </c>
      <c r="M34" s="19">
        <f>AVERAGE(M27:M33)</f>
        <v>2292.7573181851262</v>
      </c>
      <c r="N34" s="18">
        <f t="shared" si="3"/>
        <v>131.55164940406462</v>
      </c>
      <c r="O34" s="20">
        <f t="shared" si="4"/>
        <v>0</v>
      </c>
      <c r="P34" s="21">
        <f t="shared" si="5"/>
        <v>-6.1532686287222873</v>
      </c>
      <c r="Q34" s="380">
        <f t="shared" si="6"/>
        <v>0.95531554924380246</v>
      </c>
      <c r="R34" s="573"/>
      <c r="S34" s="49"/>
      <c r="T34" s="49"/>
      <c r="U34" s="381"/>
      <c r="V34" s="382"/>
      <c r="W34" s="381"/>
      <c r="X34" s="381"/>
      <c r="Y34" s="33">
        <f>SUM(Y27:Y33)</f>
        <v>0</v>
      </c>
      <c r="Z34" s="33">
        <f>SUM(Z27:Z33)</f>
        <v>0</v>
      </c>
      <c r="AA34" s="572"/>
      <c r="AB34" s="572"/>
      <c r="AC34" s="33">
        <v>7</v>
      </c>
      <c r="AD34" s="33">
        <f>SUM(AD27:AD33)</f>
        <v>0</v>
      </c>
      <c r="AE34" s="20">
        <f t="shared" si="8"/>
        <v>-107.24268181487378</v>
      </c>
      <c r="AF34" s="380">
        <f t="shared" si="9"/>
        <v>0.95531554924380258</v>
      </c>
      <c r="AG34" s="573"/>
    </row>
    <row r="35" spans="1:33" ht="15.75" customHeight="1">
      <c r="A35" s="592" t="s">
        <v>2367</v>
      </c>
      <c r="B35" s="39" t="s">
        <v>94</v>
      </c>
      <c r="C35" s="574" t="s">
        <v>530</v>
      </c>
      <c r="D35" s="574"/>
      <c r="E35" s="39">
        <v>26.18</v>
      </c>
      <c r="F35" s="388">
        <v>5784</v>
      </c>
      <c r="G35" s="381">
        <f t="shared" ref="G35:G40" si="27">E35*F35</f>
        <v>151425.12</v>
      </c>
      <c r="H35" s="48" t="s">
        <v>126</v>
      </c>
      <c r="I35" s="379">
        <v>20</v>
      </c>
      <c r="J35" s="43">
        <v>2400</v>
      </c>
      <c r="K35" s="18">
        <f t="shared" si="1"/>
        <v>120</v>
      </c>
      <c r="L35" s="379">
        <v>20</v>
      </c>
      <c r="M35" s="19">
        <f t="shared" ref="M35:M40" si="28">F35/V35*60</f>
        <v>2298.2781456953639</v>
      </c>
      <c r="N35" s="18">
        <f t="shared" si="3"/>
        <v>114.9139072847682</v>
      </c>
      <c r="O35" s="20">
        <f t="shared" si="4"/>
        <v>0</v>
      </c>
      <c r="P35" s="21">
        <f t="shared" si="5"/>
        <v>-5.0860927152317998</v>
      </c>
      <c r="Q35" s="380">
        <f t="shared" si="6"/>
        <v>0.95761589403973502</v>
      </c>
      <c r="R35" s="573">
        <f>Q41</f>
        <v>0.95761736759303362</v>
      </c>
      <c r="S35" s="49">
        <v>8.3333333333333329E-2</v>
      </c>
      <c r="T35" s="49">
        <v>0.18819444444444444</v>
      </c>
      <c r="U35" s="381"/>
      <c r="V35" s="382">
        <f t="shared" ref="V35:V40" si="29">(T35-S35)*24*60</f>
        <v>151</v>
      </c>
      <c r="W35" s="30">
        <f>T35</f>
        <v>0.18819444444444444</v>
      </c>
      <c r="X35" s="30">
        <f>S36</f>
        <v>0.20972222222222223</v>
      </c>
      <c r="Y35" s="30"/>
      <c r="Z35" s="30"/>
      <c r="AA35" s="575"/>
      <c r="AB35" s="575"/>
      <c r="AC35" s="50">
        <v>6</v>
      </c>
      <c r="AD35" s="27"/>
      <c r="AE35" s="20">
        <f t="shared" si="8"/>
        <v>-101.72185430463605</v>
      </c>
      <c r="AF35" s="380">
        <f t="shared" si="9"/>
        <v>0.95761589403973502</v>
      </c>
      <c r="AG35" s="573">
        <f>AF41</f>
        <v>0.95761736759303373</v>
      </c>
    </row>
    <row r="36" spans="1:33" ht="15.75" customHeight="1">
      <c r="A36" s="592" t="s">
        <v>58</v>
      </c>
      <c r="B36" s="39" t="s">
        <v>94</v>
      </c>
      <c r="C36" s="574" t="s">
        <v>100</v>
      </c>
      <c r="D36" s="574"/>
      <c r="E36" s="39">
        <v>24.43</v>
      </c>
      <c r="F36" s="388">
        <v>5785</v>
      </c>
      <c r="G36" s="381">
        <f t="shared" si="27"/>
        <v>141327.54999999999</v>
      </c>
      <c r="H36" s="48" t="s">
        <v>126</v>
      </c>
      <c r="I36" s="379">
        <v>14</v>
      </c>
      <c r="J36" s="43">
        <v>2400</v>
      </c>
      <c r="K36" s="18">
        <f t="shared" si="1"/>
        <v>171.42857142857142</v>
      </c>
      <c r="L36" s="379">
        <v>14</v>
      </c>
      <c r="M36" s="19">
        <f t="shared" si="28"/>
        <v>2298.6754966887415</v>
      </c>
      <c r="N36" s="18">
        <f t="shared" si="3"/>
        <v>164.19110690633869</v>
      </c>
      <c r="O36" s="20">
        <f t="shared" si="4"/>
        <v>0</v>
      </c>
      <c r="P36" s="21">
        <f t="shared" si="5"/>
        <v>-7.2374645222327274</v>
      </c>
      <c r="Q36" s="380">
        <f t="shared" si="6"/>
        <v>0.95778145695364247</v>
      </c>
      <c r="R36" s="573"/>
      <c r="S36" s="49">
        <v>0.20972222222222223</v>
      </c>
      <c r="T36" s="49">
        <v>0.31458333333333333</v>
      </c>
      <c r="U36" s="381">
        <f t="shared" ref="U36:U40" si="30">(S36-T35)*24*60</f>
        <v>31.000000000000011</v>
      </c>
      <c r="V36" s="382">
        <f t="shared" si="29"/>
        <v>151</v>
      </c>
      <c r="W36" s="381"/>
      <c r="X36" s="381"/>
      <c r="Y36" s="381"/>
      <c r="Z36" s="381"/>
      <c r="AA36" s="575"/>
      <c r="AB36" s="575"/>
      <c r="AC36" s="50"/>
      <c r="AD36" s="27"/>
      <c r="AE36" s="20">
        <f t="shared" si="8"/>
        <v>-101.32450331125847</v>
      </c>
      <c r="AF36" s="380">
        <f t="shared" si="9"/>
        <v>0.95778145695364225</v>
      </c>
      <c r="AG36" s="573"/>
    </row>
    <row r="37" spans="1:33">
      <c r="A37" s="593" t="s">
        <v>58</v>
      </c>
      <c r="B37" s="39" t="s">
        <v>94</v>
      </c>
      <c r="C37" s="574" t="s">
        <v>102</v>
      </c>
      <c r="D37" s="574"/>
      <c r="E37" s="39">
        <v>34.1</v>
      </c>
      <c r="F37" s="388">
        <v>3300</v>
      </c>
      <c r="G37" s="381">
        <f t="shared" si="27"/>
        <v>112530</v>
      </c>
      <c r="H37" s="48">
        <v>2</v>
      </c>
      <c r="I37" s="379">
        <v>17</v>
      </c>
      <c r="J37" s="43">
        <v>1600</v>
      </c>
      <c r="K37" s="18">
        <f t="shared" si="1"/>
        <v>94.117647058823536</v>
      </c>
      <c r="L37" s="379">
        <v>17</v>
      </c>
      <c r="M37" s="19">
        <f t="shared" si="28"/>
        <v>1523.0769230769229</v>
      </c>
      <c r="N37" s="18">
        <f t="shared" si="3"/>
        <v>89.592760180995469</v>
      </c>
      <c r="O37" s="20">
        <f t="shared" si="4"/>
        <v>0</v>
      </c>
      <c r="P37" s="21">
        <f t="shared" si="5"/>
        <v>-4.5248868778280666</v>
      </c>
      <c r="Q37" s="380">
        <f t="shared" si="6"/>
        <v>0.95192307692307676</v>
      </c>
      <c r="R37" s="573"/>
      <c r="S37" s="49">
        <v>0.31874999999999998</v>
      </c>
      <c r="T37" s="49">
        <v>0.40902777777777777</v>
      </c>
      <c r="U37" s="381">
        <f t="shared" si="30"/>
        <v>5.9999999999999787</v>
      </c>
      <c r="V37" s="382">
        <f t="shared" si="29"/>
        <v>130.00000000000003</v>
      </c>
      <c r="W37" s="381"/>
      <c r="X37" s="381"/>
      <c r="Y37" s="381"/>
      <c r="Z37" s="381"/>
      <c r="AA37" s="575"/>
      <c r="AB37" s="575"/>
      <c r="AC37" s="50"/>
      <c r="AD37" s="27"/>
      <c r="AE37" s="20">
        <f t="shared" si="8"/>
        <v>-76.923076923077133</v>
      </c>
      <c r="AF37" s="380">
        <f t="shared" si="9"/>
        <v>0.95192307692307676</v>
      </c>
      <c r="AG37" s="573"/>
    </row>
    <row r="38" spans="1:33">
      <c r="A38" s="593" t="s">
        <v>58</v>
      </c>
      <c r="B38" s="39" t="s">
        <v>94</v>
      </c>
      <c r="C38" s="574" t="s">
        <v>101</v>
      </c>
      <c r="D38" s="574"/>
      <c r="E38" s="39">
        <v>25.98</v>
      </c>
      <c r="F38" s="388">
        <v>2379</v>
      </c>
      <c r="G38" s="381">
        <f t="shared" si="27"/>
        <v>61806.42</v>
      </c>
      <c r="H38" s="48" t="s">
        <v>126</v>
      </c>
      <c r="I38" s="379">
        <v>19</v>
      </c>
      <c r="J38" s="43">
        <v>2400</v>
      </c>
      <c r="K38" s="18">
        <f t="shared" si="1"/>
        <v>126.31578947368421</v>
      </c>
      <c r="L38" s="379">
        <v>19</v>
      </c>
      <c r="M38" s="19">
        <f t="shared" si="28"/>
        <v>2302.2580645161283</v>
      </c>
      <c r="N38" s="18">
        <f t="shared" si="3"/>
        <v>121.17147707979623</v>
      </c>
      <c r="O38" s="20">
        <f t="shared" si="4"/>
        <v>0</v>
      </c>
      <c r="P38" s="21">
        <f t="shared" si="5"/>
        <v>-5.1443123938879722</v>
      </c>
      <c r="Q38" s="380">
        <f t="shared" si="6"/>
        <v>0.95927419354838683</v>
      </c>
      <c r="R38" s="573"/>
      <c r="S38" s="49">
        <v>0.41249999999999998</v>
      </c>
      <c r="T38" s="49">
        <v>0.45555555555555555</v>
      </c>
      <c r="U38" s="381">
        <f t="shared" si="30"/>
        <v>4.9999999999999822</v>
      </c>
      <c r="V38" s="382">
        <f t="shared" si="29"/>
        <v>62.000000000000021</v>
      </c>
      <c r="W38" s="25"/>
      <c r="X38" s="25"/>
      <c r="Y38" s="25"/>
      <c r="Z38" s="25"/>
      <c r="AA38" s="575"/>
      <c r="AB38" s="575"/>
      <c r="AC38" s="50"/>
      <c r="AD38" s="27"/>
      <c r="AE38" s="20">
        <f t="shared" si="8"/>
        <v>-97.741935483871657</v>
      </c>
      <c r="AF38" s="380">
        <f t="shared" si="9"/>
        <v>0.95927419354838683</v>
      </c>
      <c r="AG38" s="573"/>
    </row>
    <row r="39" spans="1:33">
      <c r="A39" s="593" t="s">
        <v>58</v>
      </c>
      <c r="B39" s="39" t="s">
        <v>94</v>
      </c>
      <c r="C39" s="574" t="s">
        <v>103</v>
      </c>
      <c r="D39" s="574"/>
      <c r="E39" s="39">
        <v>20.2</v>
      </c>
      <c r="F39" s="388">
        <v>1502</v>
      </c>
      <c r="G39" s="381">
        <f t="shared" si="27"/>
        <v>30340.399999999998</v>
      </c>
      <c r="H39" s="48" t="s">
        <v>126</v>
      </c>
      <c r="I39" s="379">
        <v>15</v>
      </c>
      <c r="J39" s="43">
        <v>2400</v>
      </c>
      <c r="K39" s="18">
        <f t="shared" si="1"/>
        <v>160</v>
      </c>
      <c r="L39" s="379">
        <v>15</v>
      </c>
      <c r="M39" s="19">
        <f t="shared" si="28"/>
        <v>2310.7692307692296</v>
      </c>
      <c r="N39" s="18">
        <f t="shared" si="3"/>
        <v>154.05128205128196</v>
      </c>
      <c r="O39" s="20">
        <f t="shared" si="4"/>
        <v>0</v>
      </c>
      <c r="P39" s="21">
        <f t="shared" si="5"/>
        <v>-5.9487179487180413</v>
      </c>
      <c r="Q39" s="380">
        <f t="shared" si="6"/>
        <v>0.96282051282051229</v>
      </c>
      <c r="R39" s="573"/>
      <c r="S39" s="49">
        <v>0.46111111111111108</v>
      </c>
      <c r="T39" s="49">
        <v>0.48819444444444443</v>
      </c>
      <c r="U39" s="381">
        <f t="shared" si="30"/>
        <v>7.9999999999999716</v>
      </c>
      <c r="V39" s="382">
        <f t="shared" si="29"/>
        <v>39.000000000000021</v>
      </c>
      <c r="W39" s="25">
        <f>T39</f>
        <v>0.48819444444444443</v>
      </c>
      <c r="X39" s="25">
        <f>S40</f>
        <v>0.52916666666666656</v>
      </c>
      <c r="Y39" s="25"/>
      <c r="Z39" s="25"/>
      <c r="AA39" s="575"/>
      <c r="AB39" s="575"/>
      <c r="AC39" s="50"/>
      <c r="AD39" s="27"/>
      <c r="AE39" s="20">
        <f t="shared" si="8"/>
        <v>-89.23076923077042</v>
      </c>
      <c r="AF39" s="380">
        <f t="shared" si="9"/>
        <v>0.96282051282051229</v>
      </c>
      <c r="AG39" s="573"/>
    </row>
    <row r="40" spans="1:33">
      <c r="A40" s="593" t="s">
        <v>58</v>
      </c>
      <c r="B40" s="39" t="s">
        <v>94</v>
      </c>
      <c r="C40" s="574" t="s">
        <v>102</v>
      </c>
      <c r="D40" s="574"/>
      <c r="E40" s="39">
        <v>34.1</v>
      </c>
      <c r="F40" s="388">
        <v>2744</v>
      </c>
      <c r="G40" s="381">
        <f t="shared" si="27"/>
        <v>93570.400000000009</v>
      </c>
      <c r="H40" s="48" t="s">
        <v>126</v>
      </c>
      <c r="I40" s="379">
        <v>17</v>
      </c>
      <c r="J40" s="43">
        <v>1600</v>
      </c>
      <c r="K40" s="18">
        <f t="shared" si="1"/>
        <v>94.117647058823536</v>
      </c>
      <c r="L40" s="379">
        <v>17</v>
      </c>
      <c r="M40" s="19">
        <f t="shared" si="28"/>
        <v>1524.4444444444453</v>
      </c>
      <c r="N40" s="18">
        <f t="shared" si="3"/>
        <v>89.673202614379136</v>
      </c>
      <c r="O40" s="20">
        <f t="shared" si="4"/>
        <v>0</v>
      </c>
      <c r="P40" s="21">
        <f t="shared" si="5"/>
        <v>-4.4444444444444002</v>
      </c>
      <c r="Q40" s="380">
        <f t="shared" si="6"/>
        <v>0.95277777777777828</v>
      </c>
      <c r="R40" s="573"/>
      <c r="S40" s="49">
        <v>0.52916666666666656</v>
      </c>
      <c r="T40" s="49">
        <v>0.60416666666666652</v>
      </c>
      <c r="U40" s="381">
        <f t="shared" si="30"/>
        <v>58.999999999999872</v>
      </c>
      <c r="V40" s="382">
        <f t="shared" si="29"/>
        <v>107.99999999999994</v>
      </c>
      <c r="W40" s="25"/>
      <c r="X40" s="25"/>
      <c r="Y40" s="25"/>
      <c r="Z40" s="25"/>
      <c r="AA40" s="575"/>
      <c r="AB40" s="575"/>
      <c r="AC40" s="50"/>
      <c r="AD40" s="27"/>
      <c r="AE40" s="20">
        <f t="shared" si="8"/>
        <v>-75.555555555554747</v>
      </c>
      <c r="AF40" s="380">
        <f t="shared" si="9"/>
        <v>0.95277777777777828</v>
      </c>
      <c r="AG40" s="573"/>
    </row>
    <row r="41" spans="1:33">
      <c r="A41" s="593" t="s">
        <v>58</v>
      </c>
      <c r="B41" s="42" t="s">
        <v>46</v>
      </c>
      <c r="C41" s="576"/>
      <c r="D41" s="576"/>
      <c r="E41" s="384"/>
      <c r="F41" s="42"/>
      <c r="G41" s="18"/>
      <c r="H41" s="388"/>
      <c r="I41" s="32">
        <v>17</v>
      </c>
      <c r="J41" s="43">
        <v>2133.3333333333335</v>
      </c>
      <c r="K41" s="18">
        <f t="shared" si="1"/>
        <v>125.49019607843138</v>
      </c>
      <c r="L41" s="32">
        <v>17</v>
      </c>
      <c r="M41" s="19">
        <f>AVERAGE(M35:M40)</f>
        <v>2042.9170508651387</v>
      </c>
      <c r="N41" s="18">
        <f t="shared" si="3"/>
        <v>120.17159122736109</v>
      </c>
      <c r="O41" s="20">
        <f t="shared" si="4"/>
        <v>0</v>
      </c>
      <c r="P41" s="21">
        <f t="shared" si="5"/>
        <v>-5.3186048510702904</v>
      </c>
      <c r="Q41" s="380">
        <f t="shared" si="6"/>
        <v>0.95761736759303362</v>
      </c>
      <c r="R41" s="573"/>
      <c r="S41" s="49"/>
      <c r="T41" s="49"/>
      <c r="U41" s="18"/>
      <c r="V41" s="382"/>
      <c r="W41" s="18"/>
      <c r="X41" s="18"/>
      <c r="Y41" s="33">
        <f>SUM(Y35:Y40)</f>
        <v>0</v>
      </c>
      <c r="Z41" s="33">
        <f>SUM(Z35:Z40)</f>
        <v>0</v>
      </c>
      <c r="AA41" s="572"/>
      <c r="AB41" s="572"/>
      <c r="AC41" s="33">
        <v>6</v>
      </c>
      <c r="AD41" s="33">
        <f>SUM(AD35:AD40)</f>
        <v>0</v>
      </c>
      <c r="AE41" s="20">
        <f t="shared" si="8"/>
        <v>-90.416282468194822</v>
      </c>
      <c r="AF41" s="380">
        <f t="shared" si="9"/>
        <v>0.95761736759303373</v>
      </c>
      <c r="AG41" s="573"/>
    </row>
    <row r="42" spans="1:33" ht="15.75" customHeight="1">
      <c r="A42" s="589" t="s">
        <v>2368</v>
      </c>
      <c r="B42" s="39" t="s">
        <v>104</v>
      </c>
      <c r="C42" s="566" t="s">
        <v>105</v>
      </c>
      <c r="D42" s="567"/>
      <c r="E42" s="39">
        <v>37.880000000000003</v>
      </c>
      <c r="F42" s="388">
        <v>1342</v>
      </c>
      <c r="G42" s="381">
        <f t="shared" ref="G42:G45" si="31">E42*F42</f>
        <v>50834.960000000006</v>
      </c>
      <c r="H42" s="48" t="s">
        <v>126</v>
      </c>
      <c r="I42" s="379">
        <v>13</v>
      </c>
      <c r="J42" s="43">
        <v>2000</v>
      </c>
      <c r="K42" s="18">
        <f t="shared" si="1"/>
        <v>153.84615384615384</v>
      </c>
      <c r="L42" s="379">
        <v>13</v>
      </c>
      <c r="M42" s="19">
        <f t="shared" ref="M42:M45" si="32">F42/V42*60</f>
        <v>1917.1428571428573</v>
      </c>
      <c r="N42" s="19">
        <f t="shared" si="3"/>
        <v>147.47252747252747</v>
      </c>
      <c r="O42" s="20">
        <f t="shared" si="4"/>
        <v>0</v>
      </c>
      <c r="P42" s="21">
        <f t="shared" si="5"/>
        <v>-6.3736263736263652</v>
      </c>
      <c r="Q42" s="380">
        <f t="shared" si="6"/>
        <v>0.95857142857142863</v>
      </c>
      <c r="R42" s="584">
        <f>Q46</f>
        <v>0.95739767478897897</v>
      </c>
      <c r="S42" s="49">
        <v>8.3333333333333329E-2</v>
      </c>
      <c r="T42" s="49">
        <v>0.11249999999999999</v>
      </c>
      <c r="U42" s="30"/>
      <c r="V42" s="382">
        <f t="shared" ref="V42:V45" si="33">(T42-S42)*24*60</f>
        <v>41.999999999999993</v>
      </c>
      <c r="W42" s="25">
        <f>T42</f>
        <v>0.11249999999999999</v>
      </c>
      <c r="X42" s="25">
        <f>S43</f>
        <v>0.13125000000000001</v>
      </c>
      <c r="Y42" s="28"/>
      <c r="Z42" s="28"/>
      <c r="AA42" s="568"/>
      <c r="AB42" s="569"/>
      <c r="AC42" s="50">
        <v>4</v>
      </c>
      <c r="AD42" s="27"/>
      <c r="AE42" s="20">
        <f t="shared" si="8"/>
        <v>-82.857142857142662</v>
      </c>
      <c r="AF42" s="380">
        <f t="shared" si="9"/>
        <v>0.95857142857142863</v>
      </c>
      <c r="AG42" s="584">
        <f>AF46</f>
        <v>0.95739767478897908</v>
      </c>
    </row>
    <row r="43" spans="1:33" ht="15.75" customHeight="1">
      <c r="A43" s="590" t="s">
        <v>61</v>
      </c>
      <c r="B43" s="39" t="s">
        <v>104</v>
      </c>
      <c r="C43" s="566" t="s">
        <v>106</v>
      </c>
      <c r="D43" s="567"/>
      <c r="E43" s="39">
        <v>35.119999999999997</v>
      </c>
      <c r="F43" s="388">
        <v>4697</v>
      </c>
      <c r="G43" s="381">
        <f t="shared" si="31"/>
        <v>164958.63999999998</v>
      </c>
      <c r="H43" s="48" t="s">
        <v>126</v>
      </c>
      <c r="I43" s="379">
        <v>10</v>
      </c>
      <c r="J43" s="43">
        <v>3000</v>
      </c>
      <c r="K43" s="18">
        <f t="shared" si="1"/>
        <v>300</v>
      </c>
      <c r="L43" s="379">
        <v>10</v>
      </c>
      <c r="M43" s="19">
        <f t="shared" si="32"/>
        <v>2875.7142857142853</v>
      </c>
      <c r="N43" s="19">
        <f t="shared" si="3"/>
        <v>287.57142857142856</v>
      </c>
      <c r="O43" s="20">
        <f t="shared" si="4"/>
        <v>0</v>
      </c>
      <c r="P43" s="21">
        <f t="shared" si="5"/>
        <v>-12.428571428571445</v>
      </c>
      <c r="Q43" s="380">
        <f t="shared" si="6"/>
        <v>0.95857142857142852</v>
      </c>
      <c r="R43" s="585"/>
      <c r="S43" s="49">
        <v>0.13125000000000001</v>
      </c>
      <c r="T43" s="49">
        <v>0.19930555555555557</v>
      </c>
      <c r="U43" s="381">
        <f t="shared" ref="U43:U45" si="34">(S43-T42)*24*60</f>
        <v>27.000000000000025</v>
      </c>
      <c r="V43" s="382">
        <f t="shared" si="33"/>
        <v>98.000000000000014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-124.28571428571468</v>
      </c>
      <c r="AF43" s="380">
        <f t="shared" si="9"/>
        <v>0.95857142857142841</v>
      </c>
      <c r="AG43" s="585"/>
    </row>
    <row r="44" spans="1:33" ht="15.75" customHeight="1">
      <c r="A44" s="590" t="s">
        <v>61</v>
      </c>
      <c r="B44" s="39" t="s">
        <v>104</v>
      </c>
      <c r="C44" s="566" t="s">
        <v>107</v>
      </c>
      <c r="D44" s="567"/>
      <c r="E44" s="39">
        <v>21.13</v>
      </c>
      <c r="F44" s="388">
        <v>4398</v>
      </c>
      <c r="G44" s="381">
        <f t="shared" si="31"/>
        <v>92929.739999999991</v>
      </c>
      <c r="H44" s="48" t="s">
        <v>126</v>
      </c>
      <c r="I44" s="379">
        <v>10</v>
      </c>
      <c r="J44" s="43">
        <v>3000</v>
      </c>
      <c r="K44" s="18">
        <f t="shared" si="1"/>
        <v>300</v>
      </c>
      <c r="L44" s="379">
        <v>10</v>
      </c>
      <c r="M44" s="19">
        <f t="shared" si="32"/>
        <v>2868.2608695652161</v>
      </c>
      <c r="N44" s="19">
        <f t="shared" si="3"/>
        <v>286.82608695652164</v>
      </c>
      <c r="O44" s="20">
        <f t="shared" si="4"/>
        <v>0</v>
      </c>
      <c r="P44" s="21">
        <f t="shared" si="5"/>
        <v>-13.173913043478365</v>
      </c>
      <c r="Q44" s="380">
        <f t="shared" si="6"/>
        <v>0.95608695652173881</v>
      </c>
      <c r="R44" s="585"/>
      <c r="S44" s="49">
        <v>0.20416666666666669</v>
      </c>
      <c r="T44" s="49">
        <v>0.2680555555555556</v>
      </c>
      <c r="U44" s="381">
        <f t="shared" si="34"/>
        <v>7.0000000000000151</v>
      </c>
      <c r="V44" s="382">
        <f t="shared" si="33"/>
        <v>92.000000000000028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-131.73913043478387</v>
      </c>
      <c r="AF44" s="380">
        <f t="shared" si="9"/>
        <v>0.9560869565217387</v>
      </c>
      <c r="AG44" s="585"/>
    </row>
    <row r="45" spans="1:33" ht="15.75" customHeight="1">
      <c r="A45" s="590" t="s">
        <v>61</v>
      </c>
      <c r="B45" s="39" t="s">
        <v>104</v>
      </c>
      <c r="C45" s="566" t="s">
        <v>108</v>
      </c>
      <c r="D45" s="567"/>
      <c r="E45" s="39">
        <v>27.17</v>
      </c>
      <c r="F45" s="388">
        <v>5597</v>
      </c>
      <c r="G45" s="381">
        <f t="shared" si="31"/>
        <v>152070.49000000002</v>
      </c>
      <c r="H45" s="48" t="s">
        <v>126</v>
      </c>
      <c r="I45" s="379">
        <v>10</v>
      </c>
      <c r="J45" s="43">
        <v>3000</v>
      </c>
      <c r="K45" s="18">
        <f t="shared" si="1"/>
        <v>300</v>
      </c>
      <c r="L45" s="379">
        <v>10</v>
      </c>
      <c r="M45" s="19">
        <f t="shared" si="32"/>
        <v>2870.2564102564106</v>
      </c>
      <c r="N45" s="19">
        <f t="shared" si="3"/>
        <v>287.02564102564105</v>
      </c>
      <c r="O45" s="20">
        <f t="shared" si="4"/>
        <v>0</v>
      </c>
      <c r="P45" s="21">
        <f t="shared" si="5"/>
        <v>-12.97435897435895</v>
      </c>
      <c r="Q45" s="380">
        <f t="shared" si="6"/>
        <v>0.95675213675213688</v>
      </c>
      <c r="R45" s="585"/>
      <c r="S45" s="49">
        <v>0.2729166666666667</v>
      </c>
      <c r="T45" s="49">
        <v>0.35416666666666669</v>
      </c>
      <c r="U45" s="381">
        <f t="shared" si="34"/>
        <v>6.9999999999999751</v>
      </c>
      <c r="V45" s="382">
        <f t="shared" si="33"/>
        <v>116.99999999999999</v>
      </c>
      <c r="W45" s="25"/>
      <c r="X45" s="25"/>
      <c r="Y45" s="28"/>
      <c r="Z45" s="28"/>
      <c r="AA45" s="568"/>
      <c r="AB45" s="569"/>
      <c r="AC45" s="50"/>
      <c r="AD45" s="27"/>
      <c r="AE45" s="20">
        <f t="shared" si="8"/>
        <v>-129.74358974358938</v>
      </c>
      <c r="AF45" s="380">
        <f t="shared" si="9"/>
        <v>0.95675213675213688</v>
      </c>
      <c r="AG45" s="585"/>
    </row>
    <row r="46" spans="1:33" ht="15.75" customHeight="1">
      <c r="A46" s="591" t="s">
        <v>61</v>
      </c>
      <c r="B46" s="39" t="s">
        <v>2369</v>
      </c>
      <c r="C46" s="570"/>
      <c r="D46" s="571"/>
      <c r="E46" s="387"/>
      <c r="F46" s="388"/>
      <c r="G46" s="381"/>
      <c r="H46" s="388"/>
      <c r="I46" s="32">
        <v>10.75</v>
      </c>
      <c r="J46" s="43">
        <v>2750</v>
      </c>
      <c r="K46" s="18">
        <f t="shared" si="1"/>
        <v>255.81395348837211</v>
      </c>
      <c r="L46" s="32">
        <v>10.75</v>
      </c>
      <c r="M46" s="19">
        <f>AVERAGE(M42:M45)</f>
        <v>2632.8436056696924</v>
      </c>
      <c r="N46" s="18">
        <f t="shared" si="3"/>
        <v>244.91568424834347</v>
      </c>
      <c r="O46" s="20">
        <f t="shared" si="4"/>
        <v>0</v>
      </c>
      <c r="P46" s="21">
        <f t="shared" si="5"/>
        <v>-10.89826924002864</v>
      </c>
      <c r="Q46" s="380">
        <f t="shared" si="6"/>
        <v>0.95739767478897897</v>
      </c>
      <c r="R46" s="586"/>
      <c r="S46" s="49"/>
      <c r="T46" s="49"/>
      <c r="U46" s="381"/>
      <c r="V46" s="382"/>
      <c r="W46" s="25"/>
      <c r="X46" s="25"/>
      <c r="Y46" s="33">
        <f>SUM(Y42:Y45)</f>
        <v>0</v>
      </c>
      <c r="Z46" s="33">
        <f>SUM(Z42:Z45)</f>
        <v>0</v>
      </c>
      <c r="AA46" s="587"/>
      <c r="AB46" s="588"/>
      <c r="AC46" s="33">
        <v>4</v>
      </c>
      <c r="AD46" s="33">
        <f>SUM(AD42:AD45)</f>
        <v>0</v>
      </c>
      <c r="AE46" s="20">
        <f t="shared" si="8"/>
        <v>-117.15639433030765</v>
      </c>
      <c r="AF46" s="380">
        <f t="shared" si="9"/>
        <v>0.95739767478897908</v>
      </c>
      <c r="AG46" s="586"/>
    </row>
    <row r="47" spans="1:33" ht="15.75" customHeight="1">
      <c r="A47" s="582" t="s">
        <v>2370</v>
      </c>
      <c r="B47" s="39" t="s">
        <v>79</v>
      </c>
      <c r="C47" s="574" t="s">
        <v>109</v>
      </c>
      <c r="D47" s="574"/>
      <c r="E47" s="39">
        <v>46</v>
      </c>
      <c r="F47" s="45">
        <v>2298</v>
      </c>
      <c r="G47" s="381">
        <f t="shared" ref="G47:G53" si="35">E47*F47</f>
        <v>105708</v>
      </c>
      <c r="H47" s="48" t="s">
        <v>126</v>
      </c>
      <c r="I47" s="379">
        <v>16</v>
      </c>
      <c r="J47" s="43">
        <v>2000</v>
      </c>
      <c r="K47" s="18">
        <f t="shared" si="1"/>
        <v>125</v>
      </c>
      <c r="L47" s="379">
        <v>16</v>
      </c>
      <c r="M47" s="19">
        <f t="shared" ref="M47" si="36">F47/V47*60</f>
        <v>1914.9999999999993</v>
      </c>
      <c r="N47" s="19">
        <f t="shared" si="3"/>
        <v>119.68749999999996</v>
      </c>
      <c r="O47" s="20">
        <f t="shared" si="4"/>
        <v>0</v>
      </c>
      <c r="P47" s="21">
        <f t="shared" si="5"/>
        <v>-5.3125000000000426</v>
      </c>
      <c r="Q47" s="380">
        <f t="shared" si="6"/>
        <v>0.95749999999999968</v>
      </c>
      <c r="R47" s="573">
        <f>Q54</f>
        <v>0.95800929298065296</v>
      </c>
      <c r="S47" s="49">
        <v>0.20833333333333334</v>
      </c>
      <c r="T47" s="49">
        <v>0.25833333333333336</v>
      </c>
      <c r="U47" s="30"/>
      <c r="V47" s="382">
        <f t="shared" ref="V47:V53" si="37">(T47-S47)*24*60</f>
        <v>72.000000000000028</v>
      </c>
      <c r="W47" s="30"/>
      <c r="X47" s="30"/>
      <c r="Y47" s="30"/>
      <c r="Z47" s="30"/>
      <c r="AA47" s="575"/>
      <c r="AB47" s="575"/>
      <c r="AC47" s="50">
        <v>7</v>
      </c>
      <c r="AD47" s="27"/>
      <c r="AE47" s="20">
        <f t="shared" si="8"/>
        <v>-85.000000000000682</v>
      </c>
      <c r="AF47" s="380">
        <f t="shared" si="9"/>
        <v>0.95749999999999968</v>
      </c>
      <c r="AG47" s="573">
        <f>AF54</f>
        <v>0.95800929298065296</v>
      </c>
    </row>
    <row r="48" spans="1:33" ht="15.75" customHeight="1">
      <c r="A48" s="582" t="s">
        <v>62</v>
      </c>
      <c r="B48" s="39" t="s">
        <v>79</v>
      </c>
      <c r="C48" s="574" t="s">
        <v>1233</v>
      </c>
      <c r="D48" s="574"/>
      <c r="E48" s="39">
        <v>46</v>
      </c>
      <c r="F48" s="45">
        <v>3495</v>
      </c>
      <c r="G48" s="381">
        <f t="shared" si="35"/>
        <v>160770</v>
      </c>
      <c r="H48" s="48" t="s">
        <v>126</v>
      </c>
      <c r="I48" s="379">
        <v>16</v>
      </c>
      <c r="J48" s="43">
        <v>2000</v>
      </c>
      <c r="K48" s="18">
        <f t="shared" si="1"/>
        <v>125</v>
      </c>
      <c r="L48" s="379">
        <v>16</v>
      </c>
      <c r="M48" s="19">
        <f>F48/V48*60</f>
        <v>1906.3636363636363</v>
      </c>
      <c r="N48" s="19">
        <f t="shared" si="3"/>
        <v>119.14772727272727</v>
      </c>
      <c r="O48" s="20">
        <f t="shared" si="4"/>
        <v>0</v>
      </c>
      <c r="P48" s="21">
        <f t="shared" si="5"/>
        <v>-5.8522727272727337</v>
      </c>
      <c r="Q48" s="380">
        <f t="shared" si="6"/>
        <v>0.95318181818181813</v>
      </c>
      <c r="R48" s="573"/>
      <c r="S48" s="49">
        <v>0.26250000000000001</v>
      </c>
      <c r="T48" s="49">
        <v>0.33888888888888891</v>
      </c>
      <c r="U48" s="381">
        <f t="shared" ref="U48:U53" si="38">IF(S48=TIME(17,0,0),"",(S48-T47)*24*60)</f>
        <v>5.9999999999999787</v>
      </c>
      <c r="V48" s="382">
        <f t="shared" si="37"/>
        <v>110.00000000000001</v>
      </c>
      <c r="W48" s="25"/>
      <c r="X48" s="25"/>
      <c r="Y48" s="25"/>
      <c r="Z48" s="25"/>
      <c r="AA48" s="575"/>
      <c r="AB48" s="575"/>
      <c r="AC48" s="50"/>
      <c r="AD48" s="27"/>
      <c r="AE48" s="20">
        <f t="shared" si="8"/>
        <v>-93.63636363636374</v>
      </c>
      <c r="AF48" s="380">
        <f t="shared" si="9"/>
        <v>0.95318181818181813</v>
      </c>
      <c r="AG48" s="573"/>
    </row>
    <row r="49" spans="1:33" ht="15.75" customHeight="1">
      <c r="A49" s="582" t="s">
        <v>62</v>
      </c>
      <c r="B49" s="39" t="s">
        <v>74</v>
      </c>
      <c r="C49" s="566" t="s">
        <v>111</v>
      </c>
      <c r="D49" s="567"/>
      <c r="E49" s="39">
        <v>51.75</v>
      </c>
      <c r="F49" s="45">
        <v>770</v>
      </c>
      <c r="G49" s="381">
        <f t="shared" si="35"/>
        <v>39847.5</v>
      </c>
      <c r="H49" s="48" t="s">
        <v>126</v>
      </c>
      <c r="I49" s="379">
        <v>25</v>
      </c>
      <c r="J49" s="43">
        <v>2000</v>
      </c>
      <c r="K49" s="18">
        <f t="shared" si="1"/>
        <v>80</v>
      </c>
      <c r="L49" s="379">
        <v>25</v>
      </c>
      <c r="M49" s="19">
        <f t="shared" ref="M49:M53" si="39">F49/V49*60</f>
        <v>1925.0000000000005</v>
      </c>
      <c r="N49" s="19">
        <f t="shared" si="3"/>
        <v>77.000000000000014</v>
      </c>
      <c r="O49" s="20">
        <f t="shared" si="4"/>
        <v>0</v>
      </c>
      <c r="P49" s="21">
        <f t="shared" si="5"/>
        <v>-2.9999999999999858</v>
      </c>
      <c r="Q49" s="380">
        <f t="shared" si="6"/>
        <v>0.96250000000000013</v>
      </c>
      <c r="R49" s="573"/>
      <c r="S49" s="49">
        <v>0.34375</v>
      </c>
      <c r="T49" s="49">
        <v>0.36041666666666666</v>
      </c>
      <c r="U49" s="381">
        <f t="shared" si="38"/>
        <v>6.9999999999999751</v>
      </c>
      <c r="V49" s="382">
        <f t="shared" si="37"/>
        <v>23.999999999999993</v>
      </c>
      <c r="W49" s="25"/>
      <c r="X49" s="25"/>
      <c r="Y49" s="28"/>
      <c r="Z49" s="28"/>
      <c r="AA49" s="575"/>
      <c r="AB49" s="575"/>
      <c r="AC49" s="50"/>
      <c r="AD49" s="27"/>
      <c r="AE49" s="20">
        <f t="shared" si="8"/>
        <v>-74.999999999999545</v>
      </c>
      <c r="AF49" s="380">
        <f t="shared" si="9"/>
        <v>0.96250000000000024</v>
      </c>
      <c r="AG49" s="573"/>
    </row>
    <row r="50" spans="1:33" ht="15.75" customHeight="1">
      <c r="A50" s="582" t="s">
        <v>62</v>
      </c>
      <c r="B50" s="39" t="s">
        <v>74</v>
      </c>
      <c r="C50" s="385" t="s">
        <v>110</v>
      </c>
      <c r="D50" s="386"/>
      <c r="E50" s="39">
        <v>56.43</v>
      </c>
      <c r="F50" s="45">
        <v>1304</v>
      </c>
      <c r="G50" s="381">
        <f t="shared" si="35"/>
        <v>73584.72</v>
      </c>
      <c r="H50" s="48" t="s">
        <v>126</v>
      </c>
      <c r="I50" s="379">
        <v>22</v>
      </c>
      <c r="J50" s="43">
        <v>2000</v>
      </c>
      <c r="K50" s="18">
        <f t="shared" si="1"/>
        <v>90.909090909090907</v>
      </c>
      <c r="L50" s="379">
        <v>22</v>
      </c>
      <c r="M50" s="19">
        <f t="shared" si="39"/>
        <v>1908.2926829268285</v>
      </c>
      <c r="N50" s="19">
        <f t="shared" si="3"/>
        <v>86.740576496674024</v>
      </c>
      <c r="O50" s="20">
        <f t="shared" si="4"/>
        <v>0</v>
      </c>
      <c r="P50" s="21">
        <f t="shared" si="5"/>
        <v>-4.1685144124168829</v>
      </c>
      <c r="Q50" s="380">
        <f t="shared" si="6"/>
        <v>0.95414634146341426</v>
      </c>
      <c r="R50" s="573"/>
      <c r="S50" s="49">
        <v>0.36527777777777776</v>
      </c>
      <c r="T50" s="49">
        <v>0.39374999999999999</v>
      </c>
      <c r="U50" s="381">
        <f t="shared" si="38"/>
        <v>6.9999999999999751</v>
      </c>
      <c r="V50" s="382">
        <f t="shared" si="37"/>
        <v>41.000000000000014</v>
      </c>
      <c r="W50" s="25"/>
      <c r="X50" s="25"/>
      <c r="Y50" s="28"/>
      <c r="Z50" s="28"/>
      <c r="AA50" s="575"/>
      <c r="AB50" s="575"/>
      <c r="AC50" s="50"/>
      <c r="AD50" s="27"/>
      <c r="AE50" s="20">
        <f t="shared" si="8"/>
        <v>-91.707317073171453</v>
      </c>
      <c r="AF50" s="380">
        <f t="shared" si="9"/>
        <v>0.95414634146341426</v>
      </c>
      <c r="AG50" s="573"/>
    </row>
    <row r="51" spans="1:33" ht="15.75" customHeight="1">
      <c r="A51" s="582" t="s">
        <v>62</v>
      </c>
      <c r="B51" s="39" t="s">
        <v>74</v>
      </c>
      <c r="C51" s="385" t="s">
        <v>88</v>
      </c>
      <c r="D51" s="386"/>
      <c r="E51" s="39">
        <v>59.04</v>
      </c>
      <c r="F51" s="45">
        <v>3088</v>
      </c>
      <c r="G51" s="381">
        <f t="shared" si="35"/>
        <v>182315.51999999999</v>
      </c>
      <c r="H51" s="48" t="s">
        <v>126</v>
      </c>
      <c r="I51" s="379">
        <v>19</v>
      </c>
      <c r="J51" s="43">
        <v>2000</v>
      </c>
      <c r="K51" s="18">
        <f t="shared" si="1"/>
        <v>105.26315789473684</v>
      </c>
      <c r="L51" s="379">
        <v>19</v>
      </c>
      <c r="M51" s="19">
        <f t="shared" si="39"/>
        <v>1910.1030927835056</v>
      </c>
      <c r="N51" s="19">
        <f t="shared" si="3"/>
        <v>100.53174172544766</v>
      </c>
      <c r="O51" s="20">
        <f t="shared" si="4"/>
        <v>0</v>
      </c>
      <c r="P51" s="21">
        <f t="shared" si="5"/>
        <v>-4.7314161692891759</v>
      </c>
      <c r="Q51" s="380">
        <f t="shared" si="6"/>
        <v>0.95505154639175283</v>
      </c>
      <c r="R51" s="573"/>
      <c r="S51" s="49">
        <v>0.39861111111111108</v>
      </c>
      <c r="T51" s="49">
        <v>0.46597222222222218</v>
      </c>
      <c r="U51" s="381">
        <f t="shared" si="38"/>
        <v>6.9999999999999751</v>
      </c>
      <c r="V51" s="382">
        <f t="shared" si="37"/>
        <v>96.999999999999972</v>
      </c>
      <c r="W51" s="25"/>
      <c r="X51" s="25"/>
      <c r="Y51" s="28"/>
      <c r="Z51" s="28"/>
      <c r="AA51" s="575"/>
      <c r="AB51" s="575"/>
      <c r="AC51" s="50"/>
      <c r="AD51" s="27"/>
      <c r="AE51" s="20">
        <f t="shared" si="8"/>
        <v>-89.896907216494355</v>
      </c>
      <c r="AF51" s="380">
        <f t="shared" si="9"/>
        <v>0.95505154639175283</v>
      </c>
      <c r="AG51" s="573"/>
    </row>
    <row r="52" spans="1:33" ht="15.75" customHeight="1">
      <c r="A52" s="582" t="s">
        <v>2371</v>
      </c>
      <c r="B52" s="39" t="s">
        <v>74</v>
      </c>
      <c r="C52" s="566" t="s">
        <v>113</v>
      </c>
      <c r="D52" s="567"/>
      <c r="E52" s="39">
        <v>55.56</v>
      </c>
      <c r="F52" s="45">
        <v>2036</v>
      </c>
      <c r="G52" s="381">
        <f t="shared" si="35"/>
        <v>113120.16</v>
      </c>
      <c r="H52" s="48" t="s">
        <v>126</v>
      </c>
      <c r="I52" s="379">
        <v>17</v>
      </c>
      <c r="J52" s="43">
        <v>2000</v>
      </c>
      <c r="K52" s="18">
        <f t="shared" si="1"/>
        <v>117.64705882352941</v>
      </c>
      <c r="L52" s="379">
        <v>17</v>
      </c>
      <c r="M52" s="19">
        <f t="shared" si="39"/>
        <v>1908.750000000002</v>
      </c>
      <c r="N52" s="19">
        <f t="shared" si="3"/>
        <v>112.279411764706</v>
      </c>
      <c r="O52" s="20">
        <f t="shared" si="4"/>
        <v>0</v>
      </c>
      <c r="P52" s="21">
        <f t="shared" si="5"/>
        <v>-5.3676470588234082</v>
      </c>
      <c r="Q52" s="380">
        <f t="shared" si="6"/>
        <v>0.95437500000000097</v>
      </c>
      <c r="R52" s="573"/>
      <c r="S52" s="49">
        <v>0.70833333333333337</v>
      </c>
      <c r="T52" s="49">
        <v>0.75277777777777777</v>
      </c>
      <c r="U52" s="381" t="str">
        <f t="shared" si="38"/>
        <v/>
      </c>
      <c r="V52" s="382">
        <f t="shared" si="37"/>
        <v>63.999999999999929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-91.249999999997954</v>
      </c>
      <c r="AF52" s="380">
        <f t="shared" si="9"/>
        <v>0.95437500000000097</v>
      </c>
      <c r="AG52" s="573"/>
    </row>
    <row r="53" spans="1:33" ht="15.75" customHeight="1">
      <c r="A53" s="582" t="s">
        <v>62</v>
      </c>
      <c r="B53" s="39" t="s">
        <v>74</v>
      </c>
      <c r="C53" s="566" t="s">
        <v>114</v>
      </c>
      <c r="D53" s="567"/>
      <c r="E53" s="39">
        <v>54.29</v>
      </c>
      <c r="F53" s="45">
        <v>937</v>
      </c>
      <c r="G53" s="381">
        <f t="shared" si="35"/>
        <v>50869.729999999996</v>
      </c>
      <c r="H53" s="48" t="s">
        <v>126</v>
      </c>
      <c r="I53" s="379">
        <v>20</v>
      </c>
      <c r="J53" s="43">
        <v>2000</v>
      </c>
      <c r="K53" s="18">
        <f t="shared" si="1"/>
        <v>100</v>
      </c>
      <c r="L53" s="379">
        <v>20</v>
      </c>
      <c r="M53" s="19">
        <f t="shared" si="39"/>
        <v>1938.6206896551685</v>
      </c>
      <c r="N53" s="19">
        <f t="shared" si="3"/>
        <v>96.93103448275842</v>
      </c>
      <c r="O53" s="20">
        <f t="shared" si="4"/>
        <v>0</v>
      </c>
      <c r="P53" s="21">
        <f t="shared" si="5"/>
        <v>-3.0689655172415797</v>
      </c>
      <c r="Q53" s="380">
        <f t="shared" si="6"/>
        <v>0.96931034482758416</v>
      </c>
      <c r="R53" s="573"/>
      <c r="S53" s="49">
        <v>0.75694444444444442</v>
      </c>
      <c r="T53" s="49">
        <v>0.77708333333333335</v>
      </c>
      <c r="U53" s="381">
        <f t="shared" si="38"/>
        <v>5.9999999999999787</v>
      </c>
      <c r="V53" s="382">
        <f t="shared" si="37"/>
        <v>29.000000000000057</v>
      </c>
      <c r="W53" s="25"/>
      <c r="X53" s="25"/>
      <c r="Y53" s="28"/>
      <c r="Z53" s="28"/>
      <c r="AA53" s="568"/>
      <c r="AB53" s="569"/>
      <c r="AC53" s="50"/>
      <c r="AD53" s="27"/>
      <c r="AE53" s="20">
        <f t="shared" si="8"/>
        <v>-61.379310344831538</v>
      </c>
      <c r="AF53" s="380">
        <f t="shared" si="9"/>
        <v>0.96931034482758427</v>
      </c>
      <c r="AG53" s="573"/>
    </row>
    <row r="54" spans="1:33">
      <c r="A54" s="583" t="s">
        <v>62</v>
      </c>
      <c r="B54" s="39" t="s">
        <v>46</v>
      </c>
      <c r="C54" s="576"/>
      <c r="D54" s="576"/>
      <c r="E54" s="384"/>
      <c r="F54" s="42"/>
      <c r="G54" s="18"/>
      <c r="H54" s="388"/>
      <c r="I54" s="32">
        <v>19.285714285714285</v>
      </c>
      <c r="J54" s="43">
        <v>2000</v>
      </c>
      <c r="K54" s="18">
        <f t="shared" si="1"/>
        <v>103.70370370370371</v>
      </c>
      <c r="L54" s="32">
        <v>19.285714285714285</v>
      </c>
      <c r="M54" s="19">
        <f>AVERAGE(M47:M53)</f>
        <v>1916.0185859613059</v>
      </c>
      <c r="N54" s="18">
        <f t="shared" si="3"/>
        <v>99.349111864660316</v>
      </c>
      <c r="O54" s="20">
        <f t="shared" si="4"/>
        <v>0</v>
      </c>
      <c r="P54" s="21">
        <f t="shared" si="5"/>
        <v>-4.354591839043394</v>
      </c>
      <c r="Q54" s="380">
        <f t="shared" si="6"/>
        <v>0.95800929298065296</v>
      </c>
      <c r="R54" s="573"/>
      <c r="S54" s="49"/>
      <c r="T54" s="49"/>
      <c r="U54" s="381"/>
      <c r="V54" s="382"/>
      <c r="W54" s="18"/>
      <c r="X54" s="18"/>
      <c r="Y54" s="33">
        <f>SUM(Y47:Y53)</f>
        <v>0</v>
      </c>
      <c r="Z54" s="33">
        <f>SUM(Z47:Z53)</f>
        <v>0</v>
      </c>
      <c r="AA54" s="572"/>
      <c r="AB54" s="572"/>
      <c r="AC54" s="33">
        <v>7</v>
      </c>
      <c r="AD54" s="33">
        <f>SUM(AD47:AD53)</f>
        <v>0</v>
      </c>
      <c r="AE54" s="20">
        <f>M54-J54</f>
        <v>-83.981414038694084</v>
      </c>
      <c r="AF54" s="380">
        <f t="shared" si="9"/>
        <v>0.95800929298065296</v>
      </c>
      <c r="AG54" s="573"/>
    </row>
    <row r="55" spans="1:33" ht="15.75" customHeight="1">
      <c r="A55" s="580" t="s">
        <v>67</v>
      </c>
      <c r="B55" s="388" t="s">
        <v>104</v>
      </c>
      <c r="C55" s="574" t="s">
        <v>115</v>
      </c>
      <c r="D55" s="574"/>
      <c r="E55" s="39">
        <v>34.36</v>
      </c>
      <c r="F55" s="45">
        <v>2015</v>
      </c>
      <c r="G55" s="381">
        <f t="shared" ref="G55:G59" si="40">E55*F55</f>
        <v>69235.399999999994</v>
      </c>
      <c r="H55" s="48" t="s">
        <v>126</v>
      </c>
      <c r="I55" s="379">
        <v>10</v>
      </c>
      <c r="J55" s="43">
        <v>3000</v>
      </c>
      <c r="K55" s="18">
        <f t="shared" si="1"/>
        <v>300</v>
      </c>
      <c r="L55" s="379">
        <v>10</v>
      </c>
      <c r="M55" s="19">
        <f t="shared" ref="M55:M59" si="41">F55/V55*60</f>
        <v>2878.5714285714275</v>
      </c>
      <c r="N55" s="18">
        <f t="shared" si="3"/>
        <v>287.85714285714278</v>
      </c>
      <c r="O55" s="20">
        <f t="shared" si="4"/>
        <v>0</v>
      </c>
      <c r="P55" s="21">
        <f t="shared" si="5"/>
        <v>-12.142857142857224</v>
      </c>
      <c r="Q55" s="380">
        <f t="shared" si="6"/>
        <v>0.95952380952380922</v>
      </c>
      <c r="R55" s="573">
        <f>Q60</f>
        <v>0.96947534829029036</v>
      </c>
      <c r="S55" s="49">
        <v>0.20833333333333334</v>
      </c>
      <c r="T55" s="49">
        <v>0.23750000000000002</v>
      </c>
      <c r="U55" s="381"/>
      <c r="V55" s="382">
        <f t="shared" ref="V55:V59" si="42">(T55-S55)*24*60</f>
        <v>42.000000000000014</v>
      </c>
      <c r="W55" s="30"/>
      <c r="X55" s="30"/>
      <c r="Y55" s="30"/>
      <c r="Z55" s="30"/>
      <c r="AA55" s="575"/>
      <c r="AB55" s="575"/>
      <c r="AC55" s="50">
        <v>5</v>
      </c>
      <c r="AD55" s="27"/>
      <c r="AE55" s="20">
        <f t="shared" ref="AE55:AE67" si="43">M55-J55</f>
        <v>-121.42857142857247</v>
      </c>
      <c r="AF55" s="380">
        <f t="shared" si="9"/>
        <v>0.95952380952380922</v>
      </c>
      <c r="AG55" s="573">
        <f>AF60</f>
        <v>0.96947534829029036</v>
      </c>
    </row>
    <row r="56" spans="1:33" ht="15.75" customHeight="1">
      <c r="A56" s="580" t="s">
        <v>67</v>
      </c>
      <c r="B56" s="388" t="s">
        <v>104</v>
      </c>
      <c r="C56" s="574" t="s">
        <v>116</v>
      </c>
      <c r="D56" s="574"/>
      <c r="E56" s="39">
        <v>34.36</v>
      </c>
      <c r="F56" s="45">
        <v>992</v>
      </c>
      <c r="G56" s="381">
        <f t="shared" si="40"/>
        <v>34085.120000000003</v>
      </c>
      <c r="H56" s="48" t="s">
        <v>126</v>
      </c>
      <c r="I56" s="379">
        <v>10</v>
      </c>
      <c r="J56" s="43">
        <v>3000</v>
      </c>
      <c r="K56" s="18">
        <f t="shared" si="1"/>
        <v>300</v>
      </c>
      <c r="L56" s="379">
        <v>10</v>
      </c>
      <c r="M56" s="19">
        <f t="shared" si="41"/>
        <v>2976.0000000000045</v>
      </c>
      <c r="N56" s="18">
        <f t="shared" si="3"/>
        <v>297.60000000000048</v>
      </c>
      <c r="O56" s="20">
        <f t="shared" si="4"/>
        <v>0</v>
      </c>
      <c r="P56" s="21">
        <f t="shared" si="5"/>
        <v>-2.3999999999995225</v>
      </c>
      <c r="Q56" s="380">
        <f t="shared" si="6"/>
        <v>0.99200000000000155</v>
      </c>
      <c r="R56" s="573"/>
      <c r="S56" s="49">
        <v>0.24097222222222223</v>
      </c>
      <c r="T56" s="49">
        <v>0.25486111111111109</v>
      </c>
      <c r="U56" s="381">
        <f t="shared" ref="U56:U59" si="44">(S56-T55)*24*60</f>
        <v>4.9999999999999822</v>
      </c>
      <c r="V56" s="382">
        <f t="shared" si="42"/>
        <v>19.999999999999968</v>
      </c>
      <c r="W56" s="381"/>
      <c r="X56" s="381"/>
      <c r="Y56" s="381"/>
      <c r="Z56" s="381"/>
      <c r="AA56" s="575"/>
      <c r="AB56" s="575"/>
      <c r="AC56" s="50"/>
      <c r="AD56" s="27"/>
      <c r="AE56" s="20">
        <f t="shared" si="43"/>
        <v>-23.999999999995453</v>
      </c>
      <c r="AF56" s="380">
        <f t="shared" si="9"/>
        <v>0.99200000000000155</v>
      </c>
      <c r="AG56" s="573"/>
    </row>
    <row r="57" spans="1:33" ht="15.75" customHeight="1">
      <c r="A57" s="580" t="s">
        <v>67</v>
      </c>
      <c r="B57" s="388" t="s">
        <v>104</v>
      </c>
      <c r="C57" s="574" t="s">
        <v>117</v>
      </c>
      <c r="D57" s="574"/>
      <c r="E57" s="39">
        <v>26.78</v>
      </c>
      <c r="F57" s="45">
        <v>2229</v>
      </c>
      <c r="G57" s="381">
        <f t="shared" si="40"/>
        <v>59692.62</v>
      </c>
      <c r="H57" s="48" t="s">
        <v>126</v>
      </c>
      <c r="I57" s="379">
        <v>10</v>
      </c>
      <c r="J57" s="43">
        <v>3000</v>
      </c>
      <c r="K57" s="18">
        <f t="shared" si="1"/>
        <v>300</v>
      </c>
      <c r="L57" s="379">
        <v>10</v>
      </c>
      <c r="M57" s="19">
        <f t="shared" si="41"/>
        <v>2907.391304347826</v>
      </c>
      <c r="N57" s="18">
        <f t="shared" si="3"/>
        <v>290.73913043478262</v>
      </c>
      <c r="O57" s="20">
        <f t="shared" si="4"/>
        <v>0</v>
      </c>
      <c r="P57" s="21">
        <f t="shared" si="5"/>
        <v>-9.2608695652173765</v>
      </c>
      <c r="Q57" s="380">
        <f t="shared" si="6"/>
        <v>0.96913043478260874</v>
      </c>
      <c r="R57" s="573"/>
      <c r="S57" s="49">
        <v>0.25902777777777775</v>
      </c>
      <c r="T57" s="49">
        <v>0.29097222222222219</v>
      </c>
      <c r="U57" s="381">
        <f t="shared" si="44"/>
        <v>5.9999999999999787</v>
      </c>
      <c r="V57" s="382">
        <f t="shared" si="42"/>
        <v>46</v>
      </c>
      <c r="W57" s="381"/>
      <c r="X57" s="381"/>
      <c r="Y57" s="381"/>
      <c r="Z57" s="381"/>
      <c r="AA57" s="575"/>
      <c r="AB57" s="575"/>
      <c r="AC57" s="50"/>
      <c r="AD57" s="27"/>
      <c r="AE57" s="20">
        <f t="shared" si="43"/>
        <v>-92.608695652173992</v>
      </c>
      <c r="AF57" s="380">
        <f t="shared" si="9"/>
        <v>0.96913043478260863</v>
      </c>
      <c r="AG57" s="573"/>
    </row>
    <row r="58" spans="1:33" ht="15.75" customHeight="1">
      <c r="A58" s="580" t="s">
        <v>2372</v>
      </c>
      <c r="B58" s="388" t="s">
        <v>104</v>
      </c>
      <c r="C58" s="574" t="s">
        <v>119</v>
      </c>
      <c r="D58" s="574"/>
      <c r="E58" s="39">
        <v>35.869999999999997</v>
      </c>
      <c r="F58" s="45">
        <v>3405</v>
      </c>
      <c r="G58" s="381">
        <f t="shared" si="40"/>
        <v>122137.34999999999</v>
      </c>
      <c r="H58" s="48" t="s">
        <v>126</v>
      </c>
      <c r="I58" s="379">
        <v>9</v>
      </c>
      <c r="J58" s="43">
        <v>3000</v>
      </c>
      <c r="K58" s="18">
        <f t="shared" si="1"/>
        <v>333.33333333333331</v>
      </c>
      <c r="L58" s="379">
        <v>9</v>
      </c>
      <c r="M58" s="19">
        <f t="shared" si="41"/>
        <v>2877.4647887323949</v>
      </c>
      <c r="N58" s="18">
        <f t="shared" si="3"/>
        <v>319.718309859155</v>
      </c>
      <c r="O58" s="20">
        <f t="shared" si="4"/>
        <v>0</v>
      </c>
      <c r="P58" s="21">
        <f t="shared" si="5"/>
        <v>-13.615023474178315</v>
      </c>
      <c r="Q58" s="380">
        <f t="shared" si="6"/>
        <v>0.95915492957746507</v>
      </c>
      <c r="R58" s="573"/>
      <c r="S58" s="49">
        <v>0.29652777777777772</v>
      </c>
      <c r="T58" s="49">
        <v>0.34583333333333327</v>
      </c>
      <c r="U58" s="381">
        <f t="shared" si="44"/>
        <v>7.9999999999999716</v>
      </c>
      <c r="V58" s="382">
        <f t="shared" si="42"/>
        <v>70.999999999999986</v>
      </c>
      <c r="W58" s="381"/>
      <c r="X58" s="381"/>
      <c r="Y58" s="381"/>
      <c r="Z58" s="381"/>
      <c r="AA58" s="575"/>
      <c r="AB58" s="575"/>
      <c r="AC58" s="50"/>
      <c r="AD58" s="27"/>
      <c r="AE58" s="20">
        <f t="shared" si="43"/>
        <v>-122.53521126760506</v>
      </c>
      <c r="AF58" s="380">
        <f t="shared" si="9"/>
        <v>0.95915492957746495</v>
      </c>
      <c r="AG58" s="573"/>
    </row>
    <row r="59" spans="1:33">
      <c r="A59" s="581" t="s">
        <v>2373</v>
      </c>
      <c r="B59" s="388" t="s">
        <v>104</v>
      </c>
      <c r="C59" s="574" t="s">
        <v>120</v>
      </c>
      <c r="D59" s="574"/>
      <c r="E59" s="39">
        <v>34.35</v>
      </c>
      <c r="F59" s="45">
        <v>1790</v>
      </c>
      <c r="G59" s="381">
        <f t="shared" si="40"/>
        <v>61486.5</v>
      </c>
      <c r="H59" s="48" t="s">
        <v>126</v>
      </c>
      <c r="I59" s="379">
        <v>8</v>
      </c>
      <c r="J59" s="43">
        <v>3000</v>
      </c>
      <c r="K59" s="18">
        <f t="shared" si="1"/>
        <v>375</v>
      </c>
      <c r="L59" s="379">
        <v>8</v>
      </c>
      <c r="M59" s="19">
        <f t="shared" si="41"/>
        <v>2902.7027027027007</v>
      </c>
      <c r="N59" s="18">
        <f t="shared" si="3"/>
        <v>362.83783783783758</v>
      </c>
      <c r="O59" s="20">
        <f t="shared" si="4"/>
        <v>0</v>
      </c>
      <c r="P59" s="21">
        <f t="shared" si="5"/>
        <v>-12.162162162162417</v>
      </c>
      <c r="Q59" s="380">
        <f t="shared" si="6"/>
        <v>0.9675675675675669</v>
      </c>
      <c r="R59" s="573"/>
      <c r="S59" s="49">
        <v>0.34930555555555548</v>
      </c>
      <c r="T59" s="49">
        <v>0.37499999999999994</v>
      </c>
      <c r="U59" s="381">
        <f t="shared" si="44"/>
        <v>4.9999999999999822</v>
      </c>
      <c r="V59" s="382">
        <f t="shared" si="42"/>
        <v>37.000000000000028</v>
      </c>
      <c r="W59" s="25"/>
      <c r="X59" s="25"/>
      <c r="Y59" s="25"/>
      <c r="Z59" s="25"/>
      <c r="AA59" s="575"/>
      <c r="AB59" s="575"/>
      <c r="AC59" s="50"/>
      <c r="AD59" s="27"/>
      <c r="AE59" s="20">
        <f t="shared" si="43"/>
        <v>-97.297297297299338</v>
      </c>
      <c r="AF59" s="380">
        <f t="shared" si="9"/>
        <v>0.9675675675675669</v>
      </c>
      <c r="AG59" s="573"/>
    </row>
    <row r="60" spans="1:33">
      <c r="A60" s="581" t="s">
        <v>67</v>
      </c>
      <c r="B60" s="39" t="s">
        <v>46</v>
      </c>
      <c r="C60" s="576"/>
      <c r="D60" s="576"/>
      <c r="E60" s="384"/>
      <c r="F60" s="42"/>
      <c r="G60" s="18"/>
      <c r="H60" s="388"/>
      <c r="I60" s="32">
        <v>9.4</v>
      </c>
      <c r="J60" s="43">
        <v>3000</v>
      </c>
      <c r="K60" s="18">
        <f t="shared" si="1"/>
        <v>319.14893617021278</v>
      </c>
      <c r="L60" s="32">
        <v>9.4</v>
      </c>
      <c r="M60" s="19">
        <f>AVERAGE(M55:M59)</f>
        <v>2908.426044870871</v>
      </c>
      <c r="N60" s="18">
        <f t="shared" si="3"/>
        <v>309.40702605009267</v>
      </c>
      <c r="O60" s="20">
        <f t="shared" si="4"/>
        <v>0</v>
      </c>
      <c r="P60" s="21">
        <f t="shared" si="5"/>
        <v>-9.7419101201201102</v>
      </c>
      <c r="Q60" s="380">
        <f t="shared" si="6"/>
        <v>0.96947534829029036</v>
      </c>
      <c r="R60" s="573"/>
      <c r="S60" s="49"/>
      <c r="T60" s="49"/>
      <c r="U60" s="18"/>
      <c r="V60" s="382"/>
      <c r="W60" s="18"/>
      <c r="X60" s="18"/>
      <c r="Y60" s="33">
        <f>SUM(Y55:Y59)</f>
        <v>0</v>
      </c>
      <c r="Z60" s="33">
        <f>SUM(Z55:Z59)</f>
        <v>0</v>
      </c>
      <c r="AA60" s="572"/>
      <c r="AB60" s="572"/>
      <c r="AC60" s="33">
        <v>5</v>
      </c>
      <c r="AD60" s="33">
        <f>SUM(AD55:AD59)</f>
        <v>0</v>
      </c>
      <c r="AE60" s="20">
        <f t="shared" si="43"/>
        <v>-91.57395512912899</v>
      </c>
      <c r="AF60" s="380">
        <f t="shared" si="9"/>
        <v>0.96947534829029036</v>
      </c>
      <c r="AG60" s="573"/>
    </row>
    <row r="61" spans="1:33" ht="15.75" customHeight="1">
      <c r="A61" s="577" t="s">
        <v>71</v>
      </c>
      <c r="B61" s="388" t="s">
        <v>94</v>
      </c>
      <c r="C61" s="574" t="s">
        <v>124</v>
      </c>
      <c r="D61" s="574"/>
      <c r="E61" s="39">
        <v>22.69</v>
      </c>
      <c r="F61" s="388">
        <v>3444</v>
      </c>
      <c r="G61" s="381">
        <f t="shared" ref="G61:G66" si="45">E61*F61</f>
        <v>78144.36</v>
      </c>
      <c r="H61" s="48" t="s">
        <v>126</v>
      </c>
      <c r="I61" s="379">
        <v>15</v>
      </c>
      <c r="J61" s="43">
        <v>2400</v>
      </c>
      <c r="K61" s="18">
        <f t="shared" si="1"/>
        <v>160</v>
      </c>
      <c r="L61" s="379">
        <v>15</v>
      </c>
      <c r="M61" s="19">
        <f t="shared" ref="M61:M66" si="46">F61/V61*60</f>
        <v>2296.0000000000009</v>
      </c>
      <c r="N61" s="18">
        <f t="shared" si="3"/>
        <v>153.06666666666672</v>
      </c>
      <c r="O61" s="20">
        <f t="shared" si="4"/>
        <v>0</v>
      </c>
      <c r="P61" s="21">
        <f t="shared" si="5"/>
        <v>-6.9333333333332803</v>
      </c>
      <c r="Q61" s="380">
        <f t="shared" si="6"/>
        <v>0.956666666666667</v>
      </c>
      <c r="R61" s="573">
        <f>Q67</f>
        <v>0.95715654049553522</v>
      </c>
      <c r="S61" s="49">
        <v>8.3333333333333329E-2</v>
      </c>
      <c r="T61" s="49">
        <v>0.14583333333333331</v>
      </c>
      <c r="U61" s="30"/>
      <c r="V61" s="382">
        <f t="shared" ref="V61:V66" si="47">(T61-S61)*24*60</f>
        <v>89.999999999999972</v>
      </c>
      <c r="W61" s="25">
        <f>T61</f>
        <v>0.14583333333333331</v>
      </c>
      <c r="X61" s="25">
        <f>S62</f>
        <v>0.16458333333333333</v>
      </c>
      <c r="Y61" s="25"/>
      <c r="Z61" s="25"/>
      <c r="AA61" s="575"/>
      <c r="AB61" s="575"/>
      <c r="AC61" s="50">
        <v>6</v>
      </c>
      <c r="AD61" s="27"/>
      <c r="AE61" s="20">
        <f t="shared" si="43"/>
        <v>-103.99999999999909</v>
      </c>
      <c r="AF61" s="380">
        <f t="shared" si="9"/>
        <v>0.956666666666667</v>
      </c>
      <c r="AG61" s="573">
        <f>AF67</f>
        <v>0.95715654049553522</v>
      </c>
    </row>
    <row r="62" spans="1:33" ht="15.75" customHeight="1">
      <c r="A62" s="578" t="s">
        <v>71</v>
      </c>
      <c r="B62" s="388" t="s">
        <v>94</v>
      </c>
      <c r="C62" s="574" t="s">
        <v>125</v>
      </c>
      <c r="D62" s="574"/>
      <c r="E62" s="39">
        <v>19.02</v>
      </c>
      <c r="F62" s="388">
        <v>4900</v>
      </c>
      <c r="G62" s="381">
        <f t="shared" si="45"/>
        <v>93198</v>
      </c>
      <c r="H62" s="48">
        <v>2</v>
      </c>
      <c r="I62" s="379">
        <v>14</v>
      </c>
      <c r="J62" s="43">
        <v>2400</v>
      </c>
      <c r="K62" s="18">
        <f t="shared" si="1"/>
        <v>171.42857142857142</v>
      </c>
      <c r="L62" s="379">
        <v>14</v>
      </c>
      <c r="M62" s="19">
        <f t="shared" si="46"/>
        <v>2296.8750000000005</v>
      </c>
      <c r="N62" s="18">
        <f t="shared" si="3"/>
        <v>164.06250000000003</v>
      </c>
      <c r="O62" s="20">
        <f t="shared" si="4"/>
        <v>0</v>
      </c>
      <c r="P62" s="21">
        <f t="shared" si="5"/>
        <v>-7.366071428571388</v>
      </c>
      <c r="Q62" s="380">
        <f t="shared" si="6"/>
        <v>0.95703125000000022</v>
      </c>
      <c r="R62" s="573"/>
      <c r="S62" s="49">
        <v>0.16458333333333333</v>
      </c>
      <c r="T62" s="49">
        <v>0.25347222222222221</v>
      </c>
      <c r="U62" s="381">
        <f t="shared" ref="U62:U66" si="48">(S62-T61)*24*60</f>
        <v>27.000000000000025</v>
      </c>
      <c r="V62" s="382">
        <f t="shared" si="47"/>
        <v>127.99999999999997</v>
      </c>
      <c r="W62" s="25"/>
      <c r="X62" s="25"/>
      <c r="Y62" s="25"/>
      <c r="Z62" s="25"/>
      <c r="AA62" s="575"/>
      <c r="AB62" s="575"/>
      <c r="AC62" s="50"/>
      <c r="AD62" s="27"/>
      <c r="AE62" s="20">
        <f t="shared" si="43"/>
        <v>-103.12499999999955</v>
      </c>
      <c r="AF62" s="380">
        <f t="shared" si="9"/>
        <v>0.95703125000000022</v>
      </c>
      <c r="AG62" s="573"/>
    </row>
    <row r="63" spans="1:33" ht="15.75" customHeight="1">
      <c r="A63" s="578" t="s">
        <v>71</v>
      </c>
      <c r="B63" s="388" t="s">
        <v>94</v>
      </c>
      <c r="C63" s="574" t="s">
        <v>99</v>
      </c>
      <c r="D63" s="574"/>
      <c r="E63" s="39">
        <v>20.36</v>
      </c>
      <c r="F63" s="388">
        <v>4214</v>
      </c>
      <c r="G63" s="381">
        <f t="shared" si="45"/>
        <v>85797.04</v>
      </c>
      <c r="H63" s="48" t="s">
        <v>126</v>
      </c>
      <c r="I63" s="379">
        <v>17</v>
      </c>
      <c r="J63" s="43">
        <v>2400</v>
      </c>
      <c r="K63" s="18">
        <f t="shared" si="1"/>
        <v>141.1764705882353</v>
      </c>
      <c r="L63" s="379">
        <v>17</v>
      </c>
      <c r="M63" s="19">
        <f t="shared" si="46"/>
        <v>2298.5454545454545</v>
      </c>
      <c r="N63" s="18">
        <f t="shared" si="3"/>
        <v>135.20855614973263</v>
      </c>
      <c r="O63" s="20">
        <f t="shared" si="4"/>
        <v>0</v>
      </c>
      <c r="P63" s="21">
        <f t="shared" si="5"/>
        <v>-5.9679144385026746</v>
      </c>
      <c r="Q63" s="380">
        <f t="shared" si="6"/>
        <v>0.95772727272727276</v>
      </c>
      <c r="R63" s="573"/>
      <c r="S63" s="49">
        <v>0.25694444444444442</v>
      </c>
      <c r="T63" s="49">
        <v>0.33333333333333331</v>
      </c>
      <c r="U63" s="381">
        <f t="shared" si="48"/>
        <v>4.9999999999999822</v>
      </c>
      <c r="V63" s="382">
        <f t="shared" si="47"/>
        <v>110.00000000000001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-101.4545454545455</v>
      </c>
      <c r="AF63" s="380">
        <f t="shared" si="9"/>
        <v>0.95772727272727276</v>
      </c>
      <c r="AG63" s="573"/>
    </row>
    <row r="64" spans="1:33" ht="15.75" customHeight="1">
      <c r="A64" s="578" t="s">
        <v>2374</v>
      </c>
      <c r="B64" s="388" t="s">
        <v>94</v>
      </c>
      <c r="C64" s="574" t="s">
        <v>123</v>
      </c>
      <c r="D64" s="574"/>
      <c r="E64" s="39">
        <v>20.21</v>
      </c>
      <c r="F64" s="388">
        <v>2601</v>
      </c>
      <c r="G64" s="381">
        <f t="shared" si="45"/>
        <v>52566.21</v>
      </c>
      <c r="H64" s="48" t="s">
        <v>126</v>
      </c>
      <c r="I64" s="379">
        <v>15</v>
      </c>
      <c r="J64" s="43">
        <v>2400</v>
      </c>
      <c r="K64" s="18">
        <f t="shared" si="1"/>
        <v>160</v>
      </c>
      <c r="L64" s="379">
        <v>15</v>
      </c>
      <c r="M64" s="19">
        <f t="shared" si="46"/>
        <v>2295</v>
      </c>
      <c r="N64" s="18">
        <f t="shared" si="3"/>
        <v>153</v>
      </c>
      <c r="O64" s="20">
        <f t="shared" si="4"/>
        <v>0</v>
      </c>
      <c r="P64" s="21">
        <f t="shared" si="5"/>
        <v>-7</v>
      </c>
      <c r="Q64" s="380">
        <f t="shared" si="6"/>
        <v>0.95625000000000004</v>
      </c>
      <c r="R64" s="573"/>
      <c r="S64" s="49">
        <v>0.33888888888888885</v>
      </c>
      <c r="T64" s="49">
        <v>0.38611111111111107</v>
      </c>
      <c r="U64" s="381">
        <f t="shared" si="48"/>
        <v>7.9999999999999716</v>
      </c>
      <c r="V64" s="382">
        <f t="shared" si="47"/>
        <v>68</v>
      </c>
      <c r="W64" s="25"/>
      <c r="X64" s="25"/>
      <c r="Y64" s="25"/>
      <c r="Z64" s="25"/>
      <c r="AA64" s="575"/>
      <c r="AB64" s="575"/>
      <c r="AC64" s="50"/>
      <c r="AD64" s="27"/>
      <c r="AE64" s="20">
        <f t="shared" si="43"/>
        <v>-105</v>
      </c>
      <c r="AF64" s="380">
        <f t="shared" si="9"/>
        <v>0.95625000000000004</v>
      </c>
      <c r="AG64" s="573"/>
    </row>
    <row r="65" spans="1:33" ht="15.75" customHeight="1">
      <c r="A65" s="578" t="s">
        <v>71</v>
      </c>
      <c r="B65" s="388" t="s">
        <v>94</v>
      </c>
      <c r="C65" s="574" t="s">
        <v>1954</v>
      </c>
      <c r="D65" s="574"/>
      <c r="E65" s="39">
        <v>20.21</v>
      </c>
      <c r="F65" s="388">
        <v>7030</v>
      </c>
      <c r="G65" s="381">
        <f t="shared" si="45"/>
        <v>142076.30000000002</v>
      </c>
      <c r="H65" s="48" t="s">
        <v>126</v>
      </c>
      <c r="I65" s="379">
        <v>18</v>
      </c>
      <c r="J65" s="43">
        <v>2400</v>
      </c>
      <c r="K65" s="18">
        <f t="shared" si="1"/>
        <v>133.33333333333334</v>
      </c>
      <c r="L65" s="379">
        <v>18</v>
      </c>
      <c r="M65" s="19">
        <f t="shared" si="46"/>
        <v>2292.391304347826</v>
      </c>
      <c r="N65" s="18">
        <f t="shared" si="3"/>
        <v>127.35507246376811</v>
      </c>
      <c r="O65" s="20">
        <f t="shared" si="4"/>
        <v>0</v>
      </c>
      <c r="P65" s="21">
        <f t="shared" si="5"/>
        <v>-5.9782608695652328</v>
      </c>
      <c r="Q65" s="380">
        <f t="shared" si="6"/>
        <v>0.95516304347826075</v>
      </c>
      <c r="R65" s="573"/>
      <c r="S65" s="49">
        <v>0.38958333333333328</v>
      </c>
      <c r="T65" s="49">
        <v>0.51736111111111105</v>
      </c>
      <c r="U65" s="381">
        <f t="shared" si="48"/>
        <v>4.9999999999999822</v>
      </c>
      <c r="V65" s="382">
        <f t="shared" si="47"/>
        <v>184</v>
      </c>
      <c r="W65" s="25">
        <f>T65</f>
        <v>0.51736111111111105</v>
      </c>
      <c r="X65" s="25">
        <f>S66</f>
        <v>0.55694444444444435</v>
      </c>
      <c r="Y65" s="25"/>
      <c r="Z65" s="25"/>
      <c r="AA65" s="575"/>
      <c r="AB65" s="575"/>
      <c r="AC65" s="50"/>
      <c r="AD65" s="27"/>
      <c r="AE65" s="20">
        <f t="shared" si="43"/>
        <v>-107.60869565217399</v>
      </c>
      <c r="AF65" s="380">
        <f t="shared" si="9"/>
        <v>0.95516304347826086</v>
      </c>
      <c r="AG65" s="573"/>
    </row>
    <row r="66" spans="1:33" ht="15.75" customHeight="1">
      <c r="A66" s="578" t="s">
        <v>71</v>
      </c>
      <c r="B66" s="388" t="s">
        <v>94</v>
      </c>
      <c r="C66" s="574" t="s">
        <v>125</v>
      </c>
      <c r="D66" s="574"/>
      <c r="E66" s="39">
        <v>19.02</v>
      </c>
      <c r="F66" s="388">
        <v>3802</v>
      </c>
      <c r="G66" s="381">
        <f t="shared" si="45"/>
        <v>72314.039999999994</v>
      </c>
      <c r="H66" s="48" t="s">
        <v>126</v>
      </c>
      <c r="I66" s="379">
        <v>14</v>
      </c>
      <c r="J66" s="43">
        <v>2400</v>
      </c>
      <c r="K66" s="18">
        <f t="shared" si="1"/>
        <v>171.42857142857142</v>
      </c>
      <c r="L66" s="379">
        <v>14</v>
      </c>
      <c r="M66" s="19">
        <f t="shared" si="46"/>
        <v>2304.2424242424249</v>
      </c>
      <c r="N66" s="18">
        <f t="shared" si="3"/>
        <v>164.58874458874465</v>
      </c>
      <c r="O66" s="20">
        <f t="shared" si="4"/>
        <v>0</v>
      </c>
      <c r="P66" s="21">
        <f t="shared" si="5"/>
        <v>-6.8398268398267703</v>
      </c>
      <c r="Q66" s="380">
        <f t="shared" si="6"/>
        <v>0.96010101010101045</v>
      </c>
      <c r="R66" s="573"/>
      <c r="S66" s="49">
        <v>0.55694444444444435</v>
      </c>
      <c r="T66" s="49">
        <v>0.62569444444444433</v>
      </c>
      <c r="U66" s="381">
        <f t="shared" si="48"/>
        <v>56.999999999999957</v>
      </c>
      <c r="V66" s="382">
        <f t="shared" si="47"/>
        <v>98.999999999999972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-95.757575757575069</v>
      </c>
      <c r="AF66" s="380">
        <f t="shared" si="9"/>
        <v>0.96010101010101034</v>
      </c>
      <c r="AG66" s="573"/>
    </row>
    <row r="67" spans="1:33" ht="16.5" customHeight="1">
      <c r="A67" s="579" t="s">
        <v>71</v>
      </c>
      <c r="B67" s="39" t="s">
        <v>46</v>
      </c>
      <c r="C67" s="570"/>
      <c r="D67" s="571"/>
      <c r="E67" s="384"/>
      <c r="F67" s="42"/>
      <c r="G67" s="18"/>
      <c r="H67" s="388"/>
      <c r="I67" s="32">
        <v>15.5</v>
      </c>
      <c r="J67" s="43">
        <v>2400</v>
      </c>
      <c r="K67" s="18">
        <f t="shared" si="1"/>
        <v>154.83870967741936</v>
      </c>
      <c r="L67" s="32">
        <v>15.5</v>
      </c>
      <c r="M67" s="19">
        <f>AVERAGE(M61:M66)</f>
        <v>2297.1756971892846</v>
      </c>
      <c r="N67" s="18">
        <f t="shared" si="3"/>
        <v>148.20488368963126</v>
      </c>
      <c r="O67" s="20">
        <f t="shared" si="4"/>
        <v>0</v>
      </c>
      <c r="P67" s="21">
        <f t="shared" si="5"/>
        <v>-6.6338259877881001</v>
      </c>
      <c r="Q67" s="380">
        <f t="shared" si="6"/>
        <v>0.95715654049553522</v>
      </c>
      <c r="R67" s="573"/>
      <c r="S67" s="49"/>
      <c r="T67" s="49"/>
      <c r="U67" s="18"/>
      <c r="V67" s="382"/>
      <c r="W67" s="18"/>
      <c r="X67" s="18"/>
      <c r="Y67" s="33">
        <f>SUM(Y61:Y66)</f>
        <v>0</v>
      </c>
      <c r="Z67" s="33">
        <f>SUM(Z61:Z66)</f>
        <v>0</v>
      </c>
      <c r="AA67" s="572"/>
      <c r="AB67" s="572"/>
      <c r="AC67" s="33">
        <v>6</v>
      </c>
      <c r="AD67" s="33">
        <f>SUM(AD61:AD66)</f>
        <v>0</v>
      </c>
      <c r="AE67" s="20">
        <f t="shared" si="43"/>
        <v>-102.82430281071538</v>
      </c>
      <c r="AF67" s="380">
        <f t="shared" si="9"/>
        <v>0.95715654049553522</v>
      </c>
      <c r="AG67" s="573"/>
    </row>
    <row r="68" spans="1:33">
      <c r="D68" s="35"/>
      <c r="E68" s="35"/>
      <c r="J68" s="124"/>
    </row>
  </sheetData>
  <mergeCells count="187">
    <mergeCell ref="AG61:AG67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1:A67"/>
    <mergeCell ref="C61:D61"/>
    <mergeCell ref="R61:R67"/>
    <mergeCell ref="AA61:AB61"/>
    <mergeCell ref="AA66:AB66"/>
    <mergeCell ref="A55:A60"/>
    <mergeCell ref="C55:D55"/>
    <mergeCell ref="R55:R60"/>
    <mergeCell ref="AA55:AB55"/>
    <mergeCell ref="C67:D67"/>
    <mergeCell ref="AA67:AB67"/>
    <mergeCell ref="AG55:AG60"/>
    <mergeCell ref="C56:D56"/>
    <mergeCell ref="AA56:AB56"/>
    <mergeCell ref="C57:D57"/>
    <mergeCell ref="AA57:AB57"/>
    <mergeCell ref="C58:D58"/>
    <mergeCell ref="AG47:AG54"/>
    <mergeCell ref="C48:D48"/>
    <mergeCell ref="AA48:AB48"/>
    <mergeCell ref="C49:D49"/>
    <mergeCell ref="AA49:AB49"/>
    <mergeCell ref="AA50:AB50"/>
    <mergeCell ref="AA51:AB51"/>
    <mergeCell ref="C52:D52"/>
    <mergeCell ref="AA52:AB52"/>
    <mergeCell ref="C53:D53"/>
    <mergeCell ref="AA58:AB58"/>
    <mergeCell ref="C59:D59"/>
    <mergeCell ref="AA59:AB59"/>
    <mergeCell ref="C60:D60"/>
    <mergeCell ref="AA60:AB60"/>
    <mergeCell ref="A47:A54"/>
    <mergeCell ref="C47:D47"/>
    <mergeCell ref="R47:R54"/>
    <mergeCell ref="AA47:AB47"/>
    <mergeCell ref="AA53:AB53"/>
    <mergeCell ref="C54:D54"/>
    <mergeCell ref="AA54:AB54"/>
    <mergeCell ref="A42:A46"/>
    <mergeCell ref="C42:D42"/>
    <mergeCell ref="R42:R46"/>
    <mergeCell ref="AA42:AB42"/>
    <mergeCell ref="AG42:AG46"/>
    <mergeCell ref="C43:D43"/>
    <mergeCell ref="AA43:AB43"/>
    <mergeCell ref="C44:D44"/>
    <mergeCell ref="AA44:AB44"/>
    <mergeCell ref="C45:D45"/>
    <mergeCell ref="AG35:AG41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AA45:AB45"/>
    <mergeCell ref="C46:D46"/>
    <mergeCell ref="AA46:AB46"/>
    <mergeCell ref="A27:A34"/>
    <mergeCell ref="C27:D27"/>
    <mergeCell ref="R27:R34"/>
    <mergeCell ref="AA27:AB27"/>
    <mergeCell ref="C34:D34"/>
    <mergeCell ref="AA34:AB34"/>
    <mergeCell ref="A35:A41"/>
    <mergeCell ref="C35:D35"/>
    <mergeCell ref="R35:R41"/>
    <mergeCell ref="AA35:AB35"/>
    <mergeCell ref="AA40:AB40"/>
    <mergeCell ref="C41:D41"/>
    <mergeCell ref="AA41:AB41"/>
    <mergeCell ref="AG27:AG34"/>
    <mergeCell ref="C28:D28"/>
    <mergeCell ref="AA28:AB28"/>
    <mergeCell ref="C29:D29"/>
    <mergeCell ref="AA29:AB29"/>
    <mergeCell ref="C30:D30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30:AB30"/>
    <mergeCell ref="C31:D31"/>
    <mergeCell ref="AA31:AB31"/>
    <mergeCell ref="C32:D32"/>
    <mergeCell ref="AA32:AB32"/>
    <mergeCell ref="C33:D33"/>
    <mergeCell ref="AA33:AB33"/>
    <mergeCell ref="AA19:AB19"/>
    <mergeCell ref="A20:A26"/>
    <mergeCell ref="C20:D20"/>
    <mergeCell ref="R20:R26"/>
    <mergeCell ref="AA20:AB20"/>
    <mergeCell ref="AA25:AB25"/>
    <mergeCell ref="C26:D26"/>
    <mergeCell ref="AA26:AB26"/>
    <mergeCell ref="A15:A19"/>
    <mergeCell ref="C15:D15"/>
    <mergeCell ref="R15:R19"/>
    <mergeCell ref="AA15:AB15"/>
    <mergeCell ref="AA8:AB8"/>
    <mergeCell ref="A9:A14"/>
    <mergeCell ref="C9:D9"/>
    <mergeCell ref="R9:R14"/>
    <mergeCell ref="AA9:AB9"/>
    <mergeCell ref="AA14:AB14"/>
    <mergeCell ref="AG15:AG19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4:O55 O58:O67 O5:O9 O14:O16 O19:O52">
    <cfRule type="cellIs" dxfId="1325" priority="36" operator="greaterThan">
      <formula>0</formula>
    </cfRule>
  </conditionalFormatting>
  <conditionalFormatting sqref="P5:P7 P58:P59 AE58:AE59 P61:P66 P27:P33 P55 P9 P14:P16 P20:P25 P47:P52 P35:P45 AE5:AE55 AE61:AE67">
    <cfRule type="cellIs" dxfId="1324" priority="40" operator="lessThan">
      <formula>0</formula>
    </cfRule>
  </conditionalFormatting>
  <conditionalFormatting sqref="AF58:AF59 Q54:Q55 Q58:Q67 Q5:Q9 Q14:Q16 Q19:Q52 AF5:AF55 AF61:AF67">
    <cfRule type="cellIs" dxfId="1323" priority="37" operator="greaterThan">
      <formula>1</formula>
    </cfRule>
    <cfRule type="cellIs" dxfId="1322" priority="38" operator="lessThan">
      <formula>0.8</formula>
    </cfRule>
  </conditionalFormatting>
  <conditionalFormatting sqref="AG15:AG16 R15:R16 AG58 AG54:AG55 R54:R55 R58:R67 AG5:AG9 R5:R9 AG19:AG52 R19:R52">
    <cfRule type="cellIs" dxfId="1321" priority="42" operator="lessThan">
      <formula>0.8</formula>
    </cfRule>
  </conditionalFormatting>
  <conditionalFormatting sqref="AG42">
    <cfRule type="cellIs" dxfId="1320" priority="44" operator="lessThan">
      <formula>0.8</formula>
    </cfRule>
  </conditionalFormatting>
  <conditionalFormatting sqref="AG20:AG25">
    <cfRule type="cellIs" dxfId="1319" priority="41" operator="lessThan">
      <formula>0.8</formula>
    </cfRule>
  </conditionalFormatting>
  <conditionalFormatting sqref="AG27">
    <cfRule type="cellIs" dxfId="1318" priority="43" operator="lessThan">
      <formula>0.8</formula>
    </cfRule>
  </conditionalFormatting>
  <conditionalFormatting sqref="AG35:AG40">
    <cfRule type="cellIs" dxfId="1317" priority="39" operator="lessThan">
      <formula>0.8</formula>
    </cfRule>
  </conditionalFormatting>
  <conditionalFormatting sqref="AE60">
    <cfRule type="cellIs" dxfId="1316" priority="35" operator="lessThan">
      <formula>0</formula>
    </cfRule>
  </conditionalFormatting>
  <conditionalFormatting sqref="AF60">
    <cfRule type="cellIs" dxfId="1315" priority="33" operator="greaterThan">
      <formula>1</formula>
    </cfRule>
    <cfRule type="cellIs" dxfId="1314" priority="34" operator="lessThan">
      <formula>0.8</formula>
    </cfRule>
  </conditionalFormatting>
  <conditionalFormatting sqref="O17:O18">
    <cfRule type="cellIs" dxfId="1313" priority="28" operator="greaterThan">
      <formula>0</formula>
    </cfRule>
  </conditionalFormatting>
  <conditionalFormatting sqref="P17:P18">
    <cfRule type="cellIs" dxfId="1312" priority="31" operator="lessThan">
      <formula>0</formula>
    </cfRule>
  </conditionalFormatting>
  <conditionalFormatting sqref="Q17:Q18">
    <cfRule type="cellIs" dxfId="1311" priority="29" operator="greaterThan">
      <formula>1</formula>
    </cfRule>
    <cfRule type="cellIs" dxfId="1310" priority="30" operator="lessThan">
      <formula>0.8</formula>
    </cfRule>
  </conditionalFormatting>
  <conditionalFormatting sqref="R17:R18 AG17:AG18">
    <cfRule type="cellIs" dxfId="1309" priority="32" operator="lessThan">
      <formula>0.8</formula>
    </cfRule>
  </conditionalFormatting>
  <conditionalFormatting sqref="O10:O13">
    <cfRule type="cellIs" dxfId="1308" priority="24" operator="greaterThan">
      <formula>0</formula>
    </cfRule>
  </conditionalFormatting>
  <conditionalFormatting sqref="P10:P13">
    <cfRule type="cellIs" dxfId="1307" priority="27" operator="lessThan">
      <formula>0</formula>
    </cfRule>
  </conditionalFormatting>
  <conditionalFormatting sqref="Q10:Q13">
    <cfRule type="cellIs" dxfId="1306" priority="25" operator="greaterThan">
      <formula>1</formula>
    </cfRule>
    <cfRule type="cellIs" dxfId="1305" priority="26" operator="lessThan">
      <formula>0.8</formula>
    </cfRule>
  </conditionalFormatting>
  <conditionalFormatting sqref="O53">
    <cfRule type="cellIs" dxfId="1304" priority="19" operator="greaterThan">
      <formula>0</formula>
    </cfRule>
  </conditionalFormatting>
  <conditionalFormatting sqref="P53">
    <cfRule type="cellIs" dxfId="1303" priority="22" operator="lessThan">
      <formula>0</formula>
    </cfRule>
  </conditionalFormatting>
  <conditionalFormatting sqref="Q53">
    <cfRule type="cellIs" dxfId="1302" priority="20" operator="greaterThan">
      <formula>1</formula>
    </cfRule>
    <cfRule type="cellIs" dxfId="1301" priority="21" operator="lessThan">
      <formula>0.8</formula>
    </cfRule>
  </conditionalFormatting>
  <conditionalFormatting sqref="R53 AG53">
    <cfRule type="cellIs" dxfId="1300" priority="23" operator="lessThan">
      <formula>0.8</formula>
    </cfRule>
  </conditionalFormatting>
  <conditionalFormatting sqref="O57">
    <cfRule type="cellIs" dxfId="1299" priority="14" operator="greaterThan">
      <formula>0</formula>
    </cfRule>
  </conditionalFormatting>
  <conditionalFormatting sqref="P57 AE57">
    <cfRule type="cellIs" dxfId="1298" priority="17" operator="lessThan">
      <formula>0</formula>
    </cfRule>
  </conditionalFormatting>
  <conditionalFormatting sqref="Q57 AF57">
    <cfRule type="cellIs" dxfId="1297" priority="15" operator="greaterThan">
      <formula>1</formula>
    </cfRule>
    <cfRule type="cellIs" dxfId="1296" priority="16" operator="lessThan">
      <formula>0.8</formula>
    </cfRule>
  </conditionalFormatting>
  <conditionalFormatting sqref="R57 AG57">
    <cfRule type="cellIs" dxfId="1295" priority="18" operator="lessThan">
      <formula>0.8</formula>
    </cfRule>
  </conditionalFormatting>
  <conditionalFormatting sqref="O56">
    <cfRule type="cellIs" dxfId="1294" priority="9" operator="greaterThan">
      <formula>0</formula>
    </cfRule>
  </conditionalFormatting>
  <conditionalFormatting sqref="P56 AE56">
    <cfRule type="cellIs" dxfId="1293" priority="12" operator="lessThan">
      <formula>0</formula>
    </cfRule>
  </conditionalFormatting>
  <conditionalFormatting sqref="Q56 AF56">
    <cfRule type="cellIs" dxfId="1292" priority="10" operator="greaterThan">
      <formula>1</formula>
    </cfRule>
    <cfRule type="cellIs" dxfId="1291" priority="11" operator="lessThan">
      <formula>0.8</formula>
    </cfRule>
  </conditionalFormatting>
  <conditionalFormatting sqref="R56 AG56">
    <cfRule type="cellIs" dxfId="1290" priority="13" operator="lessThan">
      <formula>0.8</formula>
    </cfRule>
  </conditionalFormatting>
  <conditionalFormatting sqref="P8">
    <cfRule type="cellIs" dxfId="1289" priority="8" operator="lessThan">
      <formula>0</formula>
    </cfRule>
  </conditionalFormatting>
  <conditionalFormatting sqref="P19">
    <cfRule type="cellIs" dxfId="1288" priority="7" operator="lessThan">
      <formula>0</formula>
    </cfRule>
  </conditionalFormatting>
  <conditionalFormatting sqref="P26">
    <cfRule type="cellIs" dxfId="1287" priority="6" operator="lessThan">
      <formula>0</formula>
    </cfRule>
  </conditionalFormatting>
  <conditionalFormatting sqref="P34">
    <cfRule type="cellIs" dxfId="1286" priority="5" operator="lessThan">
      <formula>0</formula>
    </cfRule>
  </conditionalFormatting>
  <conditionalFormatting sqref="P46">
    <cfRule type="cellIs" dxfId="1285" priority="4" operator="lessThan">
      <formula>0</formula>
    </cfRule>
  </conditionalFormatting>
  <conditionalFormatting sqref="P54">
    <cfRule type="cellIs" dxfId="1284" priority="3" operator="lessThan">
      <formula>0</formula>
    </cfRule>
  </conditionalFormatting>
  <conditionalFormatting sqref="P60">
    <cfRule type="cellIs" dxfId="1283" priority="2" operator="lessThan">
      <formula>0</formula>
    </cfRule>
  </conditionalFormatting>
  <conditionalFormatting sqref="P67">
    <cfRule type="cellIs" dxfId="1282" priority="1" operator="lessThan">
      <formula>0</formula>
    </cfRule>
  </conditionalFormatting>
  <dataValidations count="1">
    <dataValidation type="list" allowBlank="1" showInputMessage="1" showErrorMessage="1" sqref="AB8 AA5:AB7 AB59 AA8:AA59 AB10:AB55 AA60:AB6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O1" sqref="O1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2146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2147</v>
      </c>
      <c r="C3" s="555" t="str">
        <f>TEXT('0522 4度C'!A2,"yyyy.mm.ddaaaa")</f>
        <v>2026.05.22星期五</v>
      </c>
      <c r="D3" s="556"/>
      <c r="E3" s="54" t="s">
        <v>2148</v>
      </c>
      <c r="F3" s="557">
        <f>'0522 4度C'!D1</f>
        <v>145797</v>
      </c>
      <c r="G3" s="558"/>
      <c r="H3" s="54" t="s">
        <v>2149</v>
      </c>
      <c r="I3" s="559">
        <f>'0522 4度C'!F1</f>
        <v>4922623.3500000015</v>
      </c>
      <c r="J3" s="560"/>
      <c r="K3" s="55"/>
      <c r="L3" s="56"/>
      <c r="M3" s="57"/>
      <c r="N3" s="57"/>
    </row>
    <row r="4" spans="2:17" ht="28.5" customHeight="1">
      <c r="B4" s="561" t="s">
        <v>2150</v>
      </c>
      <c r="C4" s="547" t="s">
        <v>132</v>
      </c>
      <c r="D4" s="548"/>
      <c r="E4" s="564" t="s">
        <v>2151</v>
      </c>
      <c r="F4" s="565"/>
      <c r="G4" s="564" t="s">
        <v>2152</v>
      </c>
      <c r="H4" s="565"/>
      <c r="I4" s="564" t="s">
        <v>2153</v>
      </c>
      <c r="J4" s="565"/>
      <c r="K4" s="545" t="s">
        <v>2154</v>
      </c>
      <c r="L4" s="546"/>
      <c r="M4" s="546" t="s">
        <v>2155</v>
      </c>
      <c r="N4" s="546"/>
    </row>
    <row r="5" spans="2:17" ht="28.5" customHeight="1">
      <c r="B5" s="562"/>
      <c r="C5" s="547" t="s">
        <v>2156</v>
      </c>
      <c r="D5" s="548"/>
      <c r="E5" s="547" t="s">
        <v>2157</v>
      </c>
      <c r="F5" s="548"/>
      <c r="G5" s="549" t="s">
        <v>2158</v>
      </c>
      <c r="H5" s="550"/>
      <c r="I5" s="551" t="s">
        <v>2159</v>
      </c>
      <c r="J5" s="552"/>
      <c r="K5" s="58" t="s">
        <v>2160</v>
      </c>
      <c r="L5" s="59" t="s">
        <v>2161</v>
      </c>
      <c r="M5" s="58" t="s">
        <v>2162</v>
      </c>
      <c r="N5" s="59" t="s">
        <v>2163</v>
      </c>
    </row>
    <row r="6" spans="2:17" ht="28.5" customHeight="1">
      <c r="B6" s="562"/>
      <c r="C6" s="547" t="s">
        <v>145</v>
      </c>
      <c r="D6" s="548"/>
      <c r="E6" s="539">
        <f>AVERAGE(D13:M13)</f>
        <v>153.09606942328637</v>
      </c>
      <c r="F6" s="540">
        <f>AVERAGE(D31:O31,D13:J13)</f>
        <v>158.98955292060373</v>
      </c>
      <c r="G6" s="541">
        <f>AVERAGE(D13:J13)</f>
        <v>158.98955292060373</v>
      </c>
      <c r="H6" s="542"/>
      <c r="I6" s="541">
        <f>AVERAGE(K13:M13)</f>
        <v>139.34460792954587</v>
      </c>
      <c r="J6" s="542"/>
      <c r="K6" s="543">
        <f>'0522 4度C'!Y2</f>
        <v>0</v>
      </c>
      <c r="L6" s="528">
        <f>'0522 4度C'!Z2</f>
        <v>0</v>
      </c>
      <c r="M6" s="544">
        <f>'0522 4度C'!AC2</f>
        <v>52</v>
      </c>
      <c r="N6" s="528">
        <f>'0522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146.58139250606655</v>
      </c>
      <c r="F7" s="532">
        <f>AVERAGE(D32:O32,D14:J14)</f>
        <v>152.36156127913364</v>
      </c>
      <c r="G7" s="533">
        <f>AVERAGE(D14:J14)</f>
        <v>152.36156127913364</v>
      </c>
      <c r="H7" s="534"/>
      <c r="I7" s="533">
        <f>AVERAGE(K14:M14)</f>
        <v>133.09433203557674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0.95746229315921294</v>
      </c>
      <c r="F8" s="536">
        <f>AVERAGE(D15:J15,D33:O33)</f>
        <v>0.95846677892964227</v>
      </c>
      <c r="G8" s="537">
        <f>AVERAGE(D15:J15)</f>
        <v>0.95846677892964227</v>
      </c>
      <c r="H8" s="538"/>
      <c r="I8" s="537">
        <f>AVERAGE(K15:M15)</f>
        <v>0.95511849302821095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2164</v>
      </c>
      <c r="N9" s="57"/>
      <c r="O9" s="57"/>
      <c r="P9" s="57"/>
      <c r="Q9" s="57"/>
    </row>
    <row r="10" spans="2:17" ht="30" customHeight="1">
      <c r="B10" s="511" t="s">
        <v>2165</v>
      </c>
      <c r="C10" s="512"/>
      <c r="D10" s="513" t="s">
        <v>2166</v>
      </c>
      <c r="E10" s="514"/>
      <c r="F10" s="514"/>
      <c r="G10" s="514"/>
      <c r="H10" s="514"/>
      <c r="I10" s="514"/>
      <c r="J10" s="515"/>
      <c r="K10" s="516" t="s">
        <v>2167</v>
      </c>
      <c r="L10" s="517"/>
      <c r="M10" s="518"/>
      <c r="P10" s="63"/>
      <c r="Q10" s="63"/>
    </row>
    <row r="11" spans="2:17" ht="17.25" customHeight="1">
      <c r="B11" s="519" t="s">
        <v>2168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13</v>
      </c>
      <c r="C13" s="70" t="s">
        <v>2169</v>
      </c>
      <c r="D13" s="71">
        <f>SUMIFS('0522 4度C'!$K:$K,'0522 4度C'!$A:$A,"新豐6線",'0522 4度C'!$B:$B,"平均")</f>
        <v>127.65957446808511</v>
      </c>
      <c r="E13" s="72">
        <f>SUMIFS('0522 4度C'!$K:$K,'0522 4度C'!$A:$A,"新豐2線",'0522 4度C'!$B:$B,"平均")</f>
        <v>86.956521739130437</v>
      </c>
      <c r="F13" s="73">
        <f>SUMIFS('0522 4度C'!$K:$K,'0522 4度C'!$A:$A,"新豐5線",'0522 4度C'!$B:$B,"平均")</f>
        <v>98.591549295774641</v>
      </c>
      <c r="G13" s="73">
        <f>SUMIFS('0522 4度C'!$K:$K,'0522 4度C'!$A:$A,"新豐7線",'0522 4度C'!$B:$B,"平均")</f>
        <v>121.05263157894737</v>
      </c>
      <c r="H13" s="73">
        <f>SUMIFS('0522 4度C'!$K:$K,'0522 4度C'!$A:$A,"新豐3線",'0522 4度C'!$B:$B,"平均")</f>
        <v>255.81395348837211</v>
      </c>
      <c r="I13" s="73">
        <f>SUMIFS('0522 4度C'!$K:$K,'0522 4度C'!$A:$A,"新豐1線",'0522 4度C'!$B:$B,"平均")</f>
        <v>103.70370370370371</v>
      </c>
      <c r="J13" s="74">
        <f>SUMIFS('0522 4度C'!$K:$K,'0522 4度C'!$A:$A,"新豐10線",'0522 4度C'!$B:$B,"平均")</f>
        <v>319.14893617021278</v>
      </c>
      <c r="K13" s="75">
        <f>SUMIFS('0522 4度C'!$K:$K,'0522 4度C'!$A:$A,"新豐8線",'0522 4度C'!$B:$B,"平均")</f>
        <v>137.70491803278691</v>
      </c>
      <c r="L13" s="76">
        <f>SUMIFS('0522 4度C'!$K:$K,'0522 4度C'!$A:$A,"新豐9線",'0522 4度C'!$B:$B,"平均")</f>
        <v>125.49019607843138</v>
      </c>
      <c r="M13" s="74">
        <f>SUMIFS('0522 4度C'!$K:$K,'0522 4度C'!$A:$A,"新豐4線",'0522 4度C'!$B:$B,"平均")</f>
        <v>154.83870967741936</v>
      </c>
    </row>
    <row r="14" spans="2:17" ht="39.6" customHeight="1">
      <c r="B14" s="524"/>
      <c r="C14" s="77" t="s">
        <v>2170</v>
      </c>
      <c r="D14" s="78">
        <f>SUMIFS('0522 4度C'!$N:$N,'0522 4度C'!$A:$A,"新豐6線",'0522 4度C'!$B:$B,"平均")</f>
        <v>122.71088739976733</v>
      </c>
      <c r="E14" s="79">
        <f>SUMIFS('0522 4度C'!$N:$N,'0522 4度C'!$A:$A,"新豐2線",'0522 4度C'!$B:$B,"平均")</f>
        <v>83.032253241859451</v>
      </c>
      <c r="F14" s="79">
        <f>SUMIFS('0522 4度C'!$N:$N,'0522 4度C'!$A:$A,"新豐5線",'0522 4度C'!$B:$B,"平均")</f>
        <v>94.62336255293998</v>
      </c>
      <c r="G14" s="79">
        <f>SUMIFS('0522 4度C'!$N:$N,'0522 4度C'!$A:$A,"新豐7線",'0522 4度C'!$B:$B,"平均")</f>
        <v>116.0060597647185</v>
      </c>
      <c r="H14" s="79">
        <f>SUMIFS('0522 4度C'!$N:$N,'0522 4度C'!$A:$A,"新豐3線",'0522 4度C'!$B:$B,"平均")</f>
        <v>244.62918315724232</v>
      </c>
      <c r="I14" s="79">
        <f>SUMIFS('0522 4度C'!$N:$N,'0522 4度C'!$A:$A,"新豐1線",'0522 4度C'!$B:$B,"平均")</f>
        <v>99.571531668984932</v>
      </c>
      <c r="J14" s="80">
        <f>SUMIFS('0522 4度C'!$N:$N,'0522 4度C'!$A:$A,"新豐10線",'0522 4度C'!$B:$B,"平均")</f>
        <v>305.95765116842301</v>
      </c>
      <c r="K14" s="81">
        <f>SUMIFS('0522 4度C'!$N:$N,'0522 4度C'!$A:$A,"新豐8線",'0522 4度C'!$B:$B,"平均")</f>
        <v>131.54826955047005</v>
      </c>
      <c r="L14" s="82">
        <f>SUMIFS('0522 4度C'!$N:$N,'0522 4度C'!$A:$A,"新豐9線",'0522 4度C'!$B:$B,"平均")</f>
        <v>119.79764855606963</v>
      </c>
      <c r="M14" s="80">
        <f>SUMIFS('0522 4度C'!$N:$N,'0522 4度C'!$A:$A,"新豐4線",'0522 4度C'!$B:$B,"平均")</f>
        <v>147.93707800019052</v>
      </c>
    </row>
    <row r="15" spans="2:17" ht="40.15" customHeight="1">
      <c r="B15" s="525"/>
      <c r="C15" s="83" t="s">
        <v>2171</v>
      </c>
      <c r="D15" s="84">
        <f t="shared" ref="D15:M15" si="0">D14/D13</f>
        <v>0.96123528463151076</v>
      </c>
      <c r="E15" s="85">
        <f t="shared" si="0"/>
        <v>0.95487091228138365</v>
      </c>
      <c r="F15" s="85">
        <f t="shared" si="0"/>
        <v>0.9597512487512484</v>
      </c>
      <c r="G15" s="85">
        <f t="shared" si="0"/>
        <v>0.95831092849115285</v>
      </c>
      <c r="H15" s="85">
        <f t="shared" si="0"/>
        <v>0.95627771597831079</v>
      </c>
      <c r="I15" s="85">
        <f t="shared" si="0"/>
        <v>0.9601540553794975</v>
      </c>
      <c r="J15" s="86">
        <f t="shared" si="0"/>
        <v>0.95866730699439207</v>
      </c>
      <c r="K15" s="84">
        <f t="shared" si="0"/>
        <v>0.95529100506888953</v>
      </c>
      <c r="L15" s="85">
        <f t="shared" si="0"/>
        <v>0.95463751193117985</v>
      </c>
      <c r="M15" s="86">
        <f t="shared" si="0"/>
        <v>0.95542696208456379</v>
      </c>
    </row>
    <row r="16" spans="2:17" ht="17.25" customHeight="1">
      <c r="B16" s="526" t="s">
        <v>2172</v>
      </c>
      <c r="C16" s="87" t="s">
        <v>2173</v>
      </c>
      <c r="D16" s="88">
        <f>VLOOKUP("新豐6線",'0522 4度C'!$A:$T,19,0)</f>
        <v>0.70833333333333337</v>
      </c>
      <c r="E16" s="89">
        <f>VLOOKUP("新豐2線",'0522 4度C'!$A:$T,19,0)</f>
        <v>8.3333333333333329E-2</v>
      </c>
      <c r="F16" s="89">
        <f>VLOOKUP("新豐5線",'0522 4度C'!$A:$T,19,0)</f>
        <v>0.20833333333333334</v>
      </c>
      <c r="G16" s="89">
        <f>VLOOKUP("新豐7線",'0522 4度C'!$A:$T,19,0)</f>
        <v>0.20833333333333334</v>
      </c>
      <c r="H16" s="89">
        <f>VLOOKUP("新豐3線",'0522 4度C'!$A:$T,19,0)</f>
        <v>8.3333333333333329E-2</v>
      </c>
      <c r="I16" s="89">
        <f>VLOOKUP("新豐1線",'0522 4度C'!$A:$T,19,0)</f>
        <v>0.20833333333333334</v>
      </c>
      <c r="J16" s="90">
        <f>VLOOKUP("新豐10線",'0522 4度C'!$A:$T,19,0)</f>
        <v>0.20833333333333334</v>
      </c>
      <c r="K16" s="91">
        <f>VLOOKUP("新豐8線",'0522 4度C'!$A:$T,19,0)</f>
        <v>8.3333333333333329E-2</v>
      </c>
      <c r="L16" s="92">
        <f>VLOOKUP("新豐9線",'0522 4度C'!$A:$T,19,0)</f>
        <v>8.3333333333333329E-2</v>
      </c>
      <c r="M16" s="93">
        <f>VLOOKUP("新豐4線",'0522 4度C'!$A:$T,19,0)</f>
        <v>8.3333333333333329E-2</v>
      </c>
    </row>
    <row r="17" spans="2:13" ht="17.25" customHeight="1">
      <c r="B17" s="527"/>
      <c r="C17" s="87" t="s">
        <v>2174</v>
      </c>
      <c r="D17" s="91">
        <f>LOOKUP(2,1/(('0522 4度C'!$A:$A="新豐6線")*('0522 4度C'!$T:$T&lt;&gt;"")),'0522 4度C'!$T:$T)</f>
        <v>0.80555555555555558</v>
      </c>
      <c r="E17" s="89">
        <f>LOOKUP(2,1/(('0522 4度C'!$A:$A="新豐2線")*('0522 4度C'!$T:$T&lt;&gt;"")),'0522 4度C'!$T:$T)</f>
        <v>0.61319444444444438</v>
      </c>
      <c r="F17" s="89">
        <f>LOOKUP(2,1/(('0522 4度C'!$A:$A="新豐5線")*('0522 4度C'!$T:$T&lt;&gt;"")),'0522 4度C'!$T:$T)</f>
        <v>0.82708333333333339</v>
      </c>
      <c r="G17" s="89">
        <f>LOOKUP(2,1/(('0522 4度C'!$A:$A="新豐7線")*('0522 4度C'!$T:$T&lt;&gt;"")),'0522 4度C'!$T:$T)</f>
        <v>0.78611111111111109</v>
      </c>
      <c r="H17" s="89">
        <f>LOOKUP(2,1/(('0522 4度C'!$A:$A="新豐3線")*('0522 4度C'!$T:$T&lt;&gt;"")),'0522 4度C'!$T:$T)</f>
        <v>0.33958333333333329</v>
      </c>
      <c r="I17" s="89">
        <f>LOOKUP(2,1/(('0522 4度C'!$A:$A="新豐1線")*('0522 4度C'!$T:$T&lt;&gt;"")),'0522 4度C'!$T:$T)</f>
        <v>0.76875000000000004</v>
      </c>
      <c r="J17" s="90">
        <f>LOOKUP(2,1/(('0522 4度C'!$A:$A="新豐10線")*('0522 4度C'!$T:$T&lt;&gt;"")),'0522 4度C'!$T:$T)</f>
        <v>0.35277777777777775</v>
      </c>
      <c r="K17" s="88">
        <f>LOOKUP(2,1/(('0522 4度C'!$A:$A="新豐8線")*('0522 4度C'!$T:$T&lt;&gt;"")),'0522 4度C'!$T:$T)</f>
        <v>0.65694444444444444</v>
      </c>
      <c r="L17" s="89">
        <f>LOOKUP(2,1/(('0522 4度C'!$A:$A="新豐9線")*('0522 4度C'!$T:$T&lt;&gt;"")),'0522 4度C'!$T:$T)</f>
        <v>0.59583333333333321</v>
      </c>
      <c r="M17" s="90">
        <f>LOOKUP(2,1/(('0522 4度C'!$A:$A="新豐4線")*('0522 4度C'!$T:$T&lt;&gt;"")),'0522 4度C'!$T:$T)</f>
        <v>0.59652777777777766</v>
      </c>
    </row>
    <row r="18" spans="2:13" ht="17.25" customHeight="1">
      <c r="B18" s="505" t="s">
        <v>2175</v>
      </c>
      <c r="C18" s="94" t="s">
        <v>2176</v>
      </c>
      <c r="D18" s="95">
        <f>SUMIFS('0522 4度C'!$Y:$Y,'0522 4度C'!$A:$A,"新豐6線",'0522 4度C'!$B:$B,"平均")</f>
        <v>0</v>
      </c>
      <c r="E18" s="96">
        <f>SUMIFS('0522 4度C'!$Y:$Y,'0522 4度C'!$A:$A,"新豐2線",'0522 4度C'!$B:$B,"平均")</f>
        <v>0</v>
      </c>
      <c r="F18" s="96">
        <f>SUMIFS('0522 4度C'!$Y:$Y,'0522 4度C'!$A:$A,"新豐5線",'0522 4度C'!$B:$B,"平均")</f>
        <v>0</v>
      </c>
      <c r="G18" s="96">
        <f>SUMIFS('0522 4度C'!$Y:$Y,'0522 4度C'!$A:$A,"新豐7線",'0522 4度C'!$B:$B,"平均")</f>
        <v>0</v>
      </c>
      <c r="H18" s="96">
        <f>SUMIFS('0522 4度C'!$Y:$Y,'0522 4度C'!$A:$A,"新豐3線",'0522 4度C'!$B:$B,"平均")</f>
        <v>0</v>
      </c>
      <c r="I18" s="96">
        <f>SUMIFS('0522 4度C'!$Y:$Y,'0522 4度C'!$A:$A,"新豐1線",'0522 4度C'!$B:$B,"平均")</f>
        <v>0</v>
      </c>
      <c r="J18" s="97">
        <f>SUMIFS('0522 4度C'!$Y:$Y,'0522 4度C'!$A:$A,"新豐10線",'0522 4度C'!$B:$B,"平均")</f>
        <v>0</v>
      </c>
      <c r="K18" s="98">
        <f>SUMIFS('0522 4度C'!$Y:$Y,'0522 4度C'!$A:$A,"新豐8線",'0522 4度C'!$B:$B,"平均")</f>
        <v>0</v>
      </c>
      <c r="L18" s="96">
        <f>SUMIFS('0522 4度C'!$Y:$Y,'0522 4度C'!$A:$A,"新豐9線",'0522 4度C'!$B:$B,"平均")</f>
        <v>0</v>
      </c>
      <c r="M18" s="97">
        <f>SUMIFS('0522 4度C'!$Y:$Y,'0522 4度C'!$A:$A,"新豐4線",'0522 4度C'!$B:$B,"平均")</f>
        <v>0</v>
      </c>
    </row>
    <row r="19" spans="2:13" ht="17.25" customHeight="1">
      <c r="B19" s="506"/>
      <c r="C19" s="94" t="s">
        <v>2177</v>
      </c>
      <c r="D19" s="95">
        <f>SUMIFS('0522 4度C'!$Z:$Z,'0522 4度C'!$A:$A,"新豐6線",'0522 4度C'!$B:$B,"平均")</f>
        <v>0</v>
      </c>
      <c r="E19" s="96">
        <f>SUMIFS('0522 4度C'!$Z:$Z,'0522 4度C'!$A:$A,"新豐2線",'0522 4度C'!$B:$B,"平均")</f>
        <v>0</v>
      </c>
      <c r="F19" s="96">
        <f>SUMIFS('0522 4度C'!$Z:$Z,'0522 4度C'!$A:$A,"新豐5線",'0522 4度C'!$B:$B,"平均")</f>
        <v>0</v>
      </c>
      <c r="G19" s="96">
        <f>SUMIFS('0522 4度C'!$Z:$Z,'0522 4度C'!$A:$A,"新豐7線",'0522 4度C'!$B:$B,"平均")</f>
        <v>0</v>
      </c>
      <c r="H19" s="96">
        <f>SUMIFS('0522 4度C'!$Z:$Z,'0522 4度C'!$A:$A,"新豐3線",'0522 4度C'!$B:$B,"平均")</f>
        <v>0</v>
      </c>
      <c r="I19" s="96">
        <f>SUMIFS('0522 4度C'!$Z:$Z,'0522 4度C'!$A:$A,"新豐1線",'0522 4度C'!$B:$B,"平均")</f>
        <v>0</v>
      </c>
      <c r="J19" s="97">
        <f>SUMIFS('0522 4度C'!$Z:$Z,'0522 4度C'!$A:$A,"新豐10線",'0522 4度C'!$B:$B,"平均")</f>
        <v>0</v>
      </c>
      <c r="K19" s="98">
        <f>SUMIFS('0522 4度C'!$Z:$Z,'0522 4度C'!$A:$A,"新豐8線",'0522 4度C'!$B:$B,"平均")</f>
        <v>0</v>
      </c>
      <c r="L19" s="96">
        <f>SUMIFS('0522 4度C'!$Z:$Z,'0522 4度C'!$A:$A,"新豐9線",'0522 4度C'!$B:$B,"平均")</f>
        <v>0</v>
      </c>
      <c r="M19" s="97">
        <f>SUMIFS('0522 4度C'!$Z:$Z,'0522 4度C'!$A:$A,"新豐4線",'0522 4度C'!$B:$B,"平均")</f>
        <v>0</v>
      </c>
    </row>
    <row r="20" spans="2:13" ht="17.25" customHeight="1">
      <c r="B20" s="505" t="s">
        <v>2178</v>
      </c>
      <c r="C20" s="94" t="s">
        <v>2179</v>
      </c>
      <c r="D20" s="95">
        <f>SUMIFS('0522 4度C'!$AC:$AC,'0522 4度C'!$A:$A,"新豐6線",'0522 4度C'!$B:$B,"平均")</f>
        <v>3</v>
      </c>
      <c r="E20" s="96">
        <f>SUMIFS('0522 4度C'!$AC:$AC,'0522 4度C'!$A:$A,"新豐2線",'0522 4度C'!$B:$B,"平均")</f>
        <v>4</v>
      </c>
      <c r="F20" s="96">
        <f>SUMIFS('0522 4度C'!$AC:$AC,'0522 4度C'!$A:$A,"新豐5線",'0522 4度C'!$B:$B,"平均")</f>
        <v>4</v>
      </c>
      <c r="G20" s="96">
        <f>SUMIFS('0522 4度C'!$AC:$AC,'0522 4度C'!$A:$A,"新豐7線",'0522 4度C'!$B:$B,"平均")</f>
        <v>6</v>
      </c>
      <c r="H20" s="96">
        <f>SUMIFS('0522 4度C'!$AC:$AC,'0522 4度C'!$A:$A,"新豐3線",'0522 4度C'!$B:$B,"平均")</f>
        <v>4</v>
      </c>
      <c r="I20" s="96">
        <f>SUMIFS('0522 4度C'!$AC:$AC,'0522 4度C'!$A:$A,"新豐1線",'0522 4度C'!$B:$B,"平均")</f>
        <v>7</v>
      </c>
      <c r="J20" s="97">
        <f>SUMIFS('0522 4度C'!$AC:$AC,'0522 4度C'!$A:$A,"新豐10線",'0522 4度C'!$B:$B,"平均")</f>
        <v>5</v>
      </c>
      <c r="K20" s="98">
        <f>SUMIFS('0522 4度C'!$AC:$AC,'0522 4度C'!$A:$A,"新豐8線",'0522 4度C'!$B:$B,"平均")</f>
        <v>7</v>
      </c>
      <c r="L20" s="96">
        <f>SUMIFS('0522 4度C'!$AC:$AC,'0522 4度C'!$A:$A,"新豐9線",'0522 4度C'!$B:$B,"平均")</f>
        <v>6</v>
      </c>
      <c r="M20" s="97">
        <f>SUMIFS('0522 4度C'!$AC:$AC,'0522 4度C'!$A:$A,"新豐4線",'0522 4度C'!$B:$B,"平均")</f>
        <v>6</v>
      </c>
    </row>
    <row r="21" spans="2:13" ht="17.25" customHeight="1">
      <c r="B21" s="506"/>
      <c r="C21" s="94" t="s">
        <v>2180</v>
      </c>
      <c r="D21" s="95">
        <f>SUMIFS('0522 4度C'!$AD:$AD,'0522 4度C'!$A:$A,"新豐6線",'0522 4度C'!$B:$B,"平均")</f>
        <v>0</v>
      </c>
      <c r="E21" s="96">
        <f>SUMIFS('0522 4度C'!$AD:$AD,'0522 4度C'!$A:$A,"新豐2線",'0522 4度C'!$B:$B,"平均")</f>
        <v>0</v>
      </c>
      <c r="F21" s="96">
        <f>SUMIFS('0522 4度C'!$AD:$AD,'0522 4度C'!$A:$A,"新豐5線",'0522 4度C'!$B:$B,"平均")</f>
        <v>0</v>
      </c>
      <c r="G21" s="96">
        <f>SUMIFS('0522 4度C'!$AD:$AD,'0522 4度C'!$A:$A,"新豐7線",'0522 4度C'!$B:$B,"平均")</f>
        <v>0</v>
      </c>
      <c r="H21" s="96">
        <f>SUMIFS('0522 4度C'!$AD:$AD,'0522 4度C'!$A:$A,"新豐3線",'0522 4度C'!$B:$B,"平均")</f>
        <v>0</v>
      </c>
      <c r="I21" s="96">
        <f>SUMIFS('0522 4度C'!$AD:$AD,'0522 4度C'!$A:$A,"新豐1線",'0522 4度C'!$B:$B,"平均")</f>
        <v>0</v>
      </c>
      <c r="J21" s="97">
        <f>SUMIFS('0522 4度C'!$AD:$AD,'0522 4度C'!$A:$A,"新豐10線",'0522 4度C'!$B:$B,"平均")</f>
        <v>0</v>
      </c>
      <c r="K21" s="98">
        <f>SUMIFS('0522 4度C'!$AD:$AD,'0522 4度C'!$A:$A,"新豐8線",'0522 4度C'!$B:$B,"平均")</f>
        <v>0</v>
      </c>
      <c r="L21" s="96">
        <f>SUMIFS('0522 4度C'!$AD:$AD,'0522 4度C'!$A:$A,"新豐9線",'0522 4度C'!$B:$B,"平均")</f>
        <v>0</v>
      </c>
      <c r="M21" s="97">
        <f>SUMIFS('0522 4度C'!$AD:$AD,'0522 4度C'!$A:$A,"新豐4線",'0522 4度C'!$B:$B,"平均")</f>
        <v>0</v>
      </c>
    </row>
    <row r="22" spans="2:13" ht="17.25" customHeight="1">
      <c r="B22" s="507" t="s">
        <v>2181</v>
      </c>
      <c r="C22" s="508"/>
      <c r="D22" s="99">
        <f>SUMIFS('0522 4度C'!$I:$I,'0522 4度C'!$A:$A,"新豐6線",'0522 4度C'!$B:$B,"平均")</f>
        <v>15.666666666666666</v>
      </c>
      <c r="E22" s="100">
        <f>SUMIFS('0522 4度C'!$I:$I,'0522 4度C'!$A:$A,"新豐2線",'0522 4度C'!$B:$B,"平均")</f>
        <v>17.25</v>
      </c>
      <c r="F22" s="100">
        <f>SUMIFS('0522 4度C'!$I:$I,'0522 4度C'!$A:$A,"新豐5線",'0522 4度C'!$B:$B,"平均")</f>
        <v>17.75</v>
      </c>
      <c r="G22" s="100">
        <f>SUMIFS('0522 4度C'!$I:$I,'0522 4度C'!$A:$A,"新豐7線",'0522 4度C'!$B:$B,"平均")</f>
        <v>15.833333333333334</v>
      </c>
      <c r="H22" s="100">
        <f>SUMIFS('0522 4度C'!$I:$I,'0522 4度C'!$A:$A,"新豐3線",'0522 4度C'!$B:$B,"平均")</f>
        <v>10.75</v>
      </c>
      <c r="I22" s="100">
        <f>SUMIFS('0522 4度C'!$I:$I,'0522 4度C'!$A:$A,"新豐1線",'0522 4度C'!$B:$B,"平均")</f>
        <v>19.285714285714285</v>
      </c>
      <c r="J22" s="101">
        <f>SUMIFS('0522 4度C'!$I:$I,'0522 4度C'!$A:$A,"新豐10線",'0522 4度C'!$B:$B,"平均")</f>
        <v>9.4</v>
      </c>
      <c r="K22" s="99">
        <f>SUMIFS('0522 4度C'!$I:$I,'0522 4度C'!$A:$A,"新豐8線",'0522 4度C'!$B:$B,"平均")</f>
        <v>17.428571428571427</v>
      </c>
      <c r="L22" s="100">
        <f>SUMIFS('0522 4度C'!$I:$I,'0522 4度C'!$A:$A,"新豐9線",'0522 4度C'!$B:$B,"平均")</f>
        <v>17</v>
      </c>
      <c r="M22" s="101">
        <f>SUMIFS('0522 4度C'!$I:$I,'0522 4度C'!$A:$A,"新豐4線",'0522 4度C'!$B:$B,"平均")</f>
        <v>15.5</v>
      </c>
    </row>
    <row r="23" spans="2:13" ht="17.25" customHeight="1">
      <c r="B23" s="507" t="s">
        <v>2182</v>
      </c>
      <c r="C23" s="508"/>
      <c r="D23" s="102" t="s">
        <v>177</v>
      </c>
      <c r="E23" s="103" t="s">
        <v>178</v>
      </c>
      <c r="F23" s="103" t="s">
        <v>2183</v>
      </c>
      <c r="G23" s="103" t="s">
        <v>2184</v>
      </c>
      <c r="H23" s="103" t="s">
        <v>180</v>
      </c>
      <c r="I23" s="103" t="s">
        <v>177</v>
      </c>
      <c r="J23" s="104" t="s">
        <v>180</v>
      </c>
      <c r="K23" s="102" t="s">
        <v>2185</v>
      </c>
      <c r="L23" s="103" t="s">
        <v>2185</v>
      </c>
      <c r="M23" s="104" t="s">
        <v>2185</v>
      </c>
    </row>
    <row r="24" spans="2:13" ht="17.25" customHeight="1">
      <c r="B24" s="507" t="s">
        <v>2186</v>
      </c>
      <c r="C24" s="508"/>
      <c r="D24" s="102"/>
      <c r="E24" s="103"/>
      <c r="F24" s="103" t="s">
        <v>2187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2188</v>
      </c>
      <c r="C25" s="510"/>
      <c r="D25" s="105"/>
      <c r="E25" s="106" t="s">
        <v>2189</v>
      </c>
      <c r="F25" s="503" t="s">
        <v>2190</v>
      </c>
      <c r="G25" s="504"/>
      <c r="H25" s="106" t="s">
        <v>2191</v>
      </c>
      <c r="I25" s="106" t="s">
        <v>2192</v>
      </c>
      <c r="J25" s="107" t="s">
        <v>2191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28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7"/>
  <sheetViews>
    <sheetView topLeftCell="C1" zoomScale="80" zoomScaleNormal="80" workbookViewId="0">
      <pane ySplit="4" topLeftCell="A26" activePane="bottomLeft" state="frozen"/>
      <selection activeCell="A10" sqref="A10"/>
      <selection pane="bottomLeft" activeCell="A10" sqref="A1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2193</v>
      </c>
      <c r="B1" s="1"/>
      <c r="C1" s="2" t="s">
        <v>2194</v>
      </c>
      <c r="D1" s="3">
        <f>SUM(F5:F66)</f>
        <v>145797</v>
      </c>
      <c r="E1" s="371" t="s">
        <v>2195</v>
      </c>
      <c r="F1" s="1">
        <f>SUM(G5:G66)</f>
        <v>4922623.3500000015</v>
      </c>
      <c r="G1" s="1" t="s">
        <v>2196</v>
      </c>
      <c r="H1" s="5">
        <f>L8+L13+L45+L53+L18+L59+L33+L40+L25+L66</f>
        <v>155.86428571428573</v>
      </c>
      <c r="I1" s="617" t="s">
        <v>2197</v>
      </c>
      <c r="J1" s="617"/>
      <c r="K1" s="617"/>
      <c r="L1" s="617" t="s">
        <v>2198</v>
      </c>
      <c r="M1" s="617"/>
      <c r="N1" s="617"/>
      <c r="O1" s="617" t="s">
        <v>2199</v>
      </c>
      <c r="P1" s="617"/>
      <c r="Q1" s="617"/>
      <c r="R1" s="617"/>
      <c r="S1" s="617" t="s">
        <v>2200</v>
      </c>
      <c r="T1" s="617"/>
      <c r="U1" s="617"/>
      <c r="V1" s="617"/>
      <c r="W1" s="617"/>
      <c r="X1" s="617"/>
      <c r="Y1" s="6" t="s">
        <v>2201</v>
      </c>
      <c r="Z1" s="7" t="s">
        <v>2202</v>
      </c>
      <c r="AA1" s="618" t="s">
        <v>2203</v>
      </c>
      <c r="AB1" s="618"/>
      <c r="AC1" s="8" t="s">
        <v>2204</v>
      </c>
      <c r="AD1" s="7" t="s">
        <v>2205</v>
      </c>
      <c r="AE1" s="617" t="s">
        <v>2206</v>
      </c>
      <c r="AF1" s="619"/>
      <c r="AG1" s="619"/>
    </row>
    <row r="2" spans="1:33" ht="26.25" customHeight="1">
      <c r="A2" s="37">
        <v>46164</v>
      </c>
      <c r="B2" s="38" t="s">
        <v>73</v>
      </c>
      <c r="C2" s="2" t="s">
        <v>2207</v>
      </c>
      <c r="D2" s="10">
        <f>AVERAGE(N8,N13,N45,N53,N18,N59,N25,N33,N40,N66)</f>
        <v>146.58139250606655</v>
      </c>
      <c r="E2" s="11" t="s">
        <v>14</v>
      </c>
      <c r="F2" s="12">
        <f>F1/D1</f>
        <v>33.763543488549161</v>
      </c>
      <c r="G2" s="1" t="s">
        <v>2208</v>
      </c>
      <c r="H2" s="376">
        <f>COUNT(H5:H66)</f>
        <v>5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SUM(Y8+Y13+Y18+Y25+Y33+Y40+Y45+Y53+Y59+Y66)</f>
        <v>0</v>
      </c>
      <c r="Z2" s="14">
        <f>SUM(Z8+Z13+Z18+Z25+Z33+Z40+Z45+Z53+Z59+Z66)</f>
        <v>0</v>
      </c>
      <c r="AA2" s="618"/>
      <c r="AB2" s="618"/>
      <c r="AC2" s="14">
        <v>52</v>
      </c>
      <c r="AD2" s="14">
        <f>SUM(AD8+AD13+AD18+AD25+AD33+AD40+AD45+AD53+AD59+AD66)</f>
        <v>0</v>
      </c>
      <c r="AE2" s="619"/>
      <c r="AF2" s="619"/>
      <c r="AG2" s="619"/>
    </row>
    <row r="3" spans="1:33" ht="40.5" customHeight="1">
      <c r="A3" s="575" t="s">
        <v>2209</v>
      </c>
      <c r="B3" s="575" t="s">
        <v>2210</v>
      </c>
      <c r="C3" s="575" t="s">
        <v>2211</v>
      </c>
      <c r="D3" s="575"/>
      <c r="E3" s="615" t="s">
        <v>2212</v>
      </c>
      <c r="F3" s="575" t="s">
        <v>2213</v>
      </c>
      <c r="G3" s="615" t="s">
        <v>2214</v>
      </c>
      <c r="H3" s="608" t="s">
        <v>2215</v>
      </c>
      <c r="I3" s="606" t="s">
        <v>2216</v>
      </c>
      <c r="J3" s="603" t="s">
        <v>24</v>
      </c>
      <c r="K3" s="613" t="s">
        <v>2217</v>
      </c>
      <c r="L3" s="606" t="s">
        <v>2216</v>
      </c>
      <c r="M3" s="603" t="s">
        <v>2218</v>
      </c>
      <c r="N3" s="613" t="s">
        <v>2207</v>
      </c>
      <c r="O3" s="606" t="s">
        <v>2219</v>
      </c>
      <c r="P3" s="613" t="s">
        <v>2217</v>
      </c>
      <c r="Q3" s="604" t="s">
        <v>2220</v>
      </c>
      <c r="R3" s="582" t="s">
        <v>2221</v>
      </c>
      <c r="S3" s="614" t="s">
        <v>28</v>
      </c>
      <c r="T3" s="614"/>
      <c r="U3" s="608" t="s">
        <v>29</v>
      </c>
      <c r="V3" s="608" t="s">
        <v>2222</v>
      </c>
      <c r="W3" s="575" t="s">
        <v>2223</v>
      </c>
      <c r="X3" s="575"/>
      <c r="Y3" s="609" t="s">
        <v>2224</v>
      </c>
      <c r="Z3" s="572"/>
      <c r="AA3" s="610" t="s">
        <v>2225</v>
      </c>
      <c r="AB3" s="611"/>
      <c r="AC3" s="609" t="s">
        <v>2226</v>
      </c>
      <c r="AD3" s="572"/>
      <c r="AE3" s="603" t="s">
        <v>2227</v>
      </c>
      <c r="AF3" s="604" t="s">
        <v>2228</v>
      </c>
      <c r="AG3" s="582" t="s">
        <v>2229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377" t="s">
        <v>36</v>
      </c>
      <c r="T4" s="377" t="s">
        <v>37</v>
      </c>
      <c r="U4" s="608"/>
      <c r="V4" s="608"/>
      <c r="W4" s="371" t="s">
        <v>2230</v>
      </c>
      <c r="X4" s="371" t="s">
        <v>2231</v>
      </c>
      <c r="Y4" s="370" t="s">
        <v>2232</v>
      </c>
      <c r="Z4" s="370" t="s">
        <v>2233</v>
      </c>
      <c r="AA4" s="612"/>
      <c r="AB4" s="611"/>
      <c r="AC4" s="370" t="s">
        <v>2234</v>
      </c>
      <c r="AD4" s="370" t="s">
        <v>2235</v>
      </c>
      <c r="AE4" s="603"/>
      <c r="AF4" s="604"/>
      <c r="AG4" s="582"/>
    </row>
    <row r="5" spans="1:33">
      <c r="A5" s="605" t="s">
        <v>2236</v>
      </c>
      <c r="B5" s="39" t="s">
        <v>74</v>
      </c>
      <c r="C5" s="607" t="s">
        <v>75</v>
      </c>
      <c r="D5" s="607"/>
      <c r="E5" s="39">
        <v>50.67</v>
      </c>
      <c r="F5" s="377">
        <v>1148</v>
      </c>
      <c r="G5" s="371">
        <f t="shared" ref="G5:G7" si="0">E5*F5</f>
        <v>58169.16</v>
      </c>
      <c r="H5" s="48" t="s">
        <v>126</v>
      </c>
      <c r="I5" s="374">
        <v>17</v>
      </c>
      <c r="J5" s="43">
        <v>2000</v>
      </c>
      <c r="K5" s="18">
        <f t="shared" ref="K5:K66" si="1">J5/I5</f>
        <v>117.64705882352941</v>
      </c>
      <c r="L5" s="374">
        <v>17</v>
      </c>
      <c r="M5" s="19">
        <f t="shared" ref="M5:M7" si="2">F5/V5*60</f>
        <v>1913.3333333333319</v>
      </c>
      <c r="N5" s="18">
        <f t="shared" ref="N5:N66" si="3">M5/L5</f>
        <v>112.54901960784305</v>
      </c>
      <c r="O5" s="20">
        <f t="shared" ref="O5:O66" si="4">L5-I5</f>
        <v>0</v>
      </c>
      <c r="P5" s="21">
        <f t="shared" ref="P5:P66" si="5">N5-K5</f>
        <v>-5.0980392156863559</v>
      </c>
      <c r="Q5" s="372">
        <f t="shared" ref="Q5:Q66" si="6">N5/K5</f>
        <v>0.956666666666666</v>
      </c>
      <c r="R5" s="573">
        <f>Q8</f>
        <v>0.96123528463151076</v>
      </c>
      <c r="S5" s="49">
        <v>0.70833333333333337</v>
      </c>
      <c r="T5" s="49">
        <v>0.73333333333333339</v>
      </c>
      <c r="U5" s="371"/>
      <c r="V5" s="375">
        <f t="shared" ref="V5:V7" si="7">(T5-S5)*24*60</f>
        <v>36.000000000000028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52" si="8">M5-J5</f>
        <v>-86.666666666668107</v>
      </c>
      <c r="AF5" s="372">
        <f t="shared" ref="AF5:AF66" si="9">M5/J5</f>
        <v>0.956666666666666</v>
      </c>
      <c r="AG5" s="573">
        <f>AF8</f>
        <v>0.96123528463151064</v>
      </c>
    </row>
    <row r="6" spans="1:33">
      <c r="A6" s="606" t="s">
        <v>2237</v>
      </c>
      <c r="B6" s="39" t="s">
        <v>74</v>
      </c>
      <c r="C6" s="607" t="s">
        <v>77</v>
      </c>
      <c r="D6" s="607"/>
      <c r="E6" s="39">
        <v>50.67</v>
      </c>
      <c r="F6" s="377">
        <v>1252</v>
      </c>
      <c r="G6" s="371">
        <f t="shared" si="0"/>
        <v>63438.840000000004</v>
      </c>
      <c r="H6" s="48" t="s">
        <v>126</v>
      </c>
      <c r="I6" s="374">
        <v>15</v>
      </c>
      <c r="J6" s="43">
        <v>2000</v>
      </c>
      <c r="K6" s="18">
        <f t="shared" si="1"/>
        <v>133.33333333333334</v>
      </c>
      <c r="L6" s="374">
        <v>15</v>
      </c>
      <c r="M6" s="19">
        <f t="shared" si="2"/>
        <v>1926.1538461538453</v>
      </c>
      <c r="N6" s="18">
        <f t="shared" si="3"/>
        <v>128.41025641025635</v>
      </c>
      <c r="O6" s="20">
        <f t="shared" si="4"/>
        <v>0</v>
      </c>
      <c r="P6" s="21">
        <f t="shared" si="5"/>
        <v>-4.9230769230769909</v>
      </c>
      <c r="Q6" s="372">
        <f t="shared" si="6"/>
        <v>0.96307692307692261</v>
      </c>
      <c r="R6" s="573"/>
      <c r="S6" s="49">
        <v>0.73750000000000004</v>
      </c>
      <c r="T6" s="49">
        <v>0.76458333333333339</v>
      </c>
      <c r="U6" s="371">
        <f t="shared" ref="U6:U7" si="10">IF(S6=TIME(17,0,0),"",(S6-T5)*24*60)</f>
        <v>5.9999999999999787</v>
      </c>
      <c r="V6" s="375">
        <f t="shared" si="7"/>
        <v>39.000000000000021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-73.846153846154721</v>
      </c>
      <c r="AF6" s="372">
        <f t="shared" si="9"/>
        <v>0.96307692307692261</v>
      </c>
      <c r="AG6" s="573"/>
    </row>
    <row r="7" spans="1:33">
      <c r="A7" s="606" t="s">
        <v>2238</v>
      </c>
      <c r="B7" s="39" t="s">
        <v>74</v>
      </c>
      <c r="C7" s="598" t="s">
        <v>86</v>
      </c>
      <c r="D7" s="599"/>
      <c r="E7" s="39">
        <v>50.92</v>
      </c>
      <c r="F7" s="377">
        <v>1703</v>
      </c>
      <c r="G7" s="371">
        <f t="shared" si="0"/>
        <v>86716.760000000009</v>
      </c>
      <c r="H7" s="48" t="s">
        <v>126</v>
      </c>
      <c r="I7" s="374">
        <v>15</v>
      </c>
      <c r="J7" s="43">
        <v>2000</v>
      </c>
      <c r="K7" s="18">
        <f t="shared" si="1"/>
        <v>133.33333333333334</v>
      </c>
      <c r="L7" s="374">
        <v>15</v>
      </c>
      <c r="M7" s="19">
        <f t="shared" si="2"/>
        <v>1927.9245283018877</v>
      </c>
      <c r="N7" s="18">
        <f t="shared" si="3"/>
        <v>128.52830188679252</v>
      </c>
      <c r="O7" s="20">
        <f t="shared" si="4"/>
        <v>0</v>
      </c>
      <c r="P7" s="21">
        <f t="shared" si="5"/>
        <v>-4.8050314465408235</v>
      </c>
      <c r="Q7" s="372">
        <f t="shared" si="6"/>
        <v>0.96396226415094388</v>
      </c>
      <c r="R7" s="573"/>
      <c r="S7" s="49">
        <v>0.76875000000000004</v>
      </c>
      <c r="T7" s="49">
        <v>0.80555555555555558</v>
      </c>
      <c r="U7" s="371">
        <f t="shared" si="10"/>
        <v>5.9999999999999787</v>
      </c>
      <c r="V7" s="375">
        <f t="shared" si="7"/>
        <v>52.999999999999972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-72.075471698112324</v>
      </c>
      <c r="AF7" s="372">
        <f t="shared" si="9"/>
        <v>0.96396226415094388</v>
      </c>
      <c r="AG7" s="573"/>
    </row>
    <row r="8" spans="1:33">
      <c r="A8" s="606" t="s">
        <v>2239</v>
      </c>
      <c r="B8" s="39" t="s">
        <v>2240</v>
      </c>
      <c r="C8" s="576"/>
      <c r="D8" s="576"/>
      <c r="E8" s="373"/>
      <c r="F8" s="42"/>
      <c r="G8" s="18"/>
      <c r="H8" s="377"/>
      <c r="I8" s="32">
        <v>15.666666666666666</v>
      </c>
      <c r="J8" s="43">
        <v>2000</v>
      </c>
      <c r="K8" s="18">
        <f t="shared" si="1"/>
        <v>127.65957446808511</v>
      </c>
      <c r="L8" s="32">
        <v>15.666666666666666</v>
      </c>
      <c r="M8" s="19">
        <f>AVERAGE(M5:M7)</f>
        <v>1922.4705692630214</v>
      </c>
      <c r="N8" s="18">
        <f t="shared" si="3"/>
        <v>122.71088739976733</v>
      </c>
      <c r="O8" s="20">
        <f t="shared" si="4"/>
        <v>0</v>
      </c>
      <c r="P8" s="21">
        <f t="shared" si="5"/>
        <v>-4.9486870683177813</v>
      </c>
      <c r="Q8" s="372">
        <f t="shared" si="6"/>
        <v>0.96123528463151076</v>
      </c>
      <c r="R8" s="573"/>
      <c r="S8" s="49"/>
      <c r="T8" s="49"/>
      <c r="U8" s="371"/>
      <c r="V8" s="375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-77.529430736978611</v>
      </c>
      <c r="AF8" s="372">
        <f t="shared" si="9"/>
        <v>0.96123528463151064</v>
      </c>
      <c r="AG8" s="573"/>
    </row>
    <row r="9" spans="1:33" ht="15.75" customHeight="1">
      <c r="A9" s="602" t="s">
        <v>2241</v>
      </c>
      <c r="B9" s="39" t="s">
        <v>79</v>
      </c>
      <c r="C9" s="598" t="s">
        <v>80</v>
      </c>
      <c r="D9" s="599"/>
      <c r="E9" s="39">
        <v>39.619999999999997</v>
      </c>
      <c r="F9" s="377">
        <v>4452</v>
      </c>
      <c r="G9" s="371">
        <f t="shared" ref="G9:G12" si="11">E9*F9</f>
        <v>176388.24</v>
      </c>
      <c r="H9" s="48" t="s">
        <v>126</v>
      </c>
      <c r="I9" s="374">
        <v>19</v>
      </c>
      <c r="J9" s="43">
        <v>1500</v>
      </c>
      <c r="K9" s="18">
        <f t="shared" si="1"/>
        <v>78.94736842105263</v>
      </c>
      <c r="L9" s="374">
        <v>19</v>
      </c>
      <c r="M9" s="19">
        <f t="shared" ref="M9:M12" si="12">F9/V9*60</f>
        <v>1428.4491978609622</v>
      </c>
      <c r="N9" s="18">
        <f t="shared" si="3"/>
        <v>75.181536729524325</v>
      </c>
      <c r="O9" s="20">
        <f t="shared" si="4"/>
        <v>0</v>
      </c>
      <c r="P9" s="21">
        <f t="shared" si="5"/>
        <v>-3.7658316915283052</v>
      </c>
      <c r="Q9" s="372">
        <f t="shared" si="6"/>
        <v>0.95229946524064146</v>
      </c>
      <c r="R9" s="573">
        <f>Q13</f>
        <v>0.95487091228138365</v>
      </c>
      <c r="S9" s="49">
        <v>8.3333333333333329E-2</v>
      </c>
      <c r="T9" s="49">
        <v>0.21319444444444446</v>
      </c>
      <c r="U9" s="371"/>
      <c r="V9" s="375">
        <f t="shared" ref="V9:V12" si="13">(T9-S9)*24*60</f>
        <v>187.00000000000006</v>
      </c>
      <c r="W9" s="25">
        <f>T9</f>
        <v>0.21319444444444446</v>
      </c>
      <c r="X9" s="25">
        <f>S10</f>
        <v>0.23125000000000001</v>
      </c>
      <c r="Y9" s="25"/>
      <c r="Z9" s="25"/>
      <c r="AA9" s="575"/>
      <c r="AB9" s="575"/>
      <c r="AC9" s="50">
        <v>4</v>
      </c>
      <c r="AD9" s="27"/>
      <c r="AE9" s="20">
        <f t="shared" si="8"/>
        <v>-71.550802139037842</v>
      </c>
      <c r="AF9" s="372">
        <f t="shared" si="9"/>
        <v>0.95229946524064146</v>
      </c>
      <c r="AG9" s="573">
        <f>AF13</f>
        <v>0.95487091228138377</v>
      </c>
    </row>
    <row r="10" spans="1:33" ht="15.75" customHeight="1">
      <c r="A10" s="602" t="s">
        <v>2242</v>
      </c>
      <c r="B10" s="39" t="s">
        <v>79</v>
      </c>
      <c r="C10" s="598" t="s">
        <v>81</v>
      </c>
      <c r="D10" s="599"/>
      <c r="E10" s="39">
        <v>39.799999999999997</v>
      </c>
      <c r="F10" s="377">
        <v>3800</v>
      </c>
      <c r="G10" s="371">
        <f t="shared" si="11"/>
        <v>151240</v>
      </c>
      <c r="H10" s="48">
        <v>2</v>
      </c>
      <c r="I10" s="374">
        <v>17</v>
      </c>
      <c r="J10" s="43">
        <v>1500</v>
      </c>
      <c r="K10" s="18">
        <f t="shared" si="1"/>
        <v>88.235294117647058</v>
      </c>
      <c r="L10" s="374">
        <v>17</v>
      </c>
      <c r="M10" s="19">
        <f t="shared" si="12"/>
        <v>1433.9622641509434</v>
      </c>
      <c r="N10" s="18">
        <f t="shared" si="3"/>
        <v>84.350721420643723</v>
      </c>
      <c r="O10" s="20">
        <f t="shared" si="4"/>
        <v>0</v>
      </c>
      <c r="P10" s="21">
        <f t="shared" si="5"/>
        <v>-3.8845726970033354</v>
      </c>
      <c r="Q10" s="372">
        <f t="shared" si="6"/>
        <v>0.9559748427672955</v>
      </c>
      <c r="R10" s="573"/>
      <c r="S10" s="49">
        <v>0.23125000000000001</v>
      </c>
      <c r="T10" s="49">
        <v>0.34166666666666667</v>
      </c>
      <c r="U10" s="371">
        <f t="shared" ref="U10:U12" si="14">IF(S10=TIME(17,0,0),"",(S10-T9)*24*60)</f>
        <v>25.999999999999986</v>
      </c>
      <c r="V10" s="375">
        <f t="shared" si="13"/>
        <v>159</v>
      </c>
      <c r="W10" s="25"/>
      <c r="X10" s="25"/>
      <c r="Y10" s="25"/>
      <c r="Z10" s="25"/>
      <c r="AA10" s="575"/>
      <c r="AB10" s="575"/>
      <c r="AC10" s="50"/>
      <c r="AD10" s="27"/>
      <c r="AE10" s="20">
        <f t="shared" si="8"/>
        <v>-66.037735849056617</v>
      </c>
      <c r="AF10" s="372">
        <f t="shared" si="9"/>
        <v>0.95597484276729561</v>
      </c>
      <c r="AG10" s="573"/>
    </row>
    <row r="11" spans="1:33" ht="15.75" customHeight="1">
      <c r="A11" s="602" t="s">
        <v>2243</v>
      </c>
      <c r="B11" s="39" t="s">
        <v>79</v>
      </c>
      <c r="C11" s="598" t="s">
        <v>1953</v>
      </c>
      <c r="D11" s="599"/>
      <c r="E11" s="39">
        <v>39.46</v>
      </c>
      <c r="F11" s="377">
        <v>5194</v>
      </c>
      <c r="G11" s="371">
        <f t="shared" si="11"/>
        <v>204955.24</v>
      </c>
      <c r="H11" s="48" t="s">
        <v>126</v>
      </c>
      <c r="I11" s="374">
        <v>16</v>
      </c>
      <c r="J11" s="43">
        <v>1500</v>
      </c>
      <c r="K11" s="18">
        <f t="shared" si="1"/>
        <v>93.75</v>
      </c>
      <c r="L11" s="374">
        <v>16</v>
      </c>
      <c r="M11" s="19">
        <f t="shared" si="12"/>
        <v>1429.5412844036696</v>
      </c>
      <c r="N11" s="18">
        <f t="shared" si="3"/>
        <v>89.346330275229349</v>
      </c>
      <c r="O11" s="20">
        <f t="shared" si="4"/>
        <v>0</v>
      </c>
      <c r="P11" s="21">
        <f t="shared" si="5"/>
        <v>-4.4036697247706513</v>
      </c>
      <c r="Q11" s="372">
        <f t="shared" si="6"/>
        <v>0.95302752293577975</v>
      </c>
      <c r="R11" s="573"/>
      <c r="S11" s="49">
        <v>0.34583333333333333</v>
      </c>
      <c r="T11" s="49">
        <v>0.49722222222222223</v>
      </c>
      <c r="U11" s="371">
        <f t="shared" si="14"/>
        <v>5.9999999999999787</v>
      </c>
      <c r="V11" s="375">
        <f t="shared" si="13"/>
        <v>218.00000000000003</v>
      </c>
      <c r="W11" s="25">
        <f>T11</f>
        <v>0.49722222222222223</v>
      </c>
      <c r="X11" s="25">
        <f>S12</f>
        <v>0.53680555555555554</v>
      </c>
      <c r="Y11" s="25"/>
      <c r="Z11" s="25"/>
      <c r="AA11" s="575"/>
      <c r="AB11" s="575"/>
      <c r="AC11" s="50"/>
      <c r="AD11" s="27"/>
      <c r="AE11" s="20">
        <f t="shared" si="8"/>
        <v>-70.458715596330421</v>
      </c>
      <c r="AF11" s="372">
        <f t="shared" si="9"/>
        <v>0.95302752293577975</v>
      </c>
      <c r="AG11" s="573"/>
    </row>
    <row r="12" spans="1:33" ht="15.75" customHeight="1">
      <c r="A12" s="602" t="s">
        <v>2244</v>
      </c>
      <c r="B12" s="39" t="s">
        <v>79</v>
      </c>
      <c r="C12" s="598" t="s">
        <v>81</v>
      </c>
      <c r="D12" s="599"/>
      <c r="E12" s="39">
        <v>39.799999999999997</v>
      </c>
      <c r="F12" s="377">
        <v>2635</v>
      </c>
      <c r="G12" s="371">
        <f t="shared" si="11"/>
        <v>104872.99999999999</v>
      </c>
      <c r="H12" s="48" t="s">
        <v>126</v>
      </c>
      <c r="I12" s="374">
        <v>17</v>
      </c>
      <c r="J12" s="43">
        <v>1500</v>
      </c>
      <c r="K12" s="18">
        <f t="shared" si="1"/>
        <v>88.235294117647058</v>
      </c>
      <c r="L12" s="374">
        <v>17</v>
      </c>
      <c r="M12" s="19">
        <f t="shared" si="12"/>
        <v>1437.2727272727282</v>
      </c>
      <c r="N12" s="18">
        <f t="shared" si="3"/>
        <v>84.545454545454604</v>
      </c>
      <c r="O12" s="20">
        <f t="shared" si="4"/>
        <v>0</v>
      </c>
      <c r="P12" s="21">
        <f t="shared" si="5"/>
        <v>-3.6898395721924544</v>
      </c>
      <c r="Q12" s="372">
        <f t="shared" si="6"/>
        <v>0.9581818181818188</v>
      </c>
      <c r="R12" s="573"/>
      <c r="S12" s="49">
        <v>0.53680555555555554</v>
      </c>
      <c r="T12" s="49">
        <v>0.61319444444444438</v>
      </c>
      <c r="U12" s="371">
        <f t="shared" si="14"/>
        <v>56.999999999999957</v>
      </c>
      <c r="V12" s="375">
        <f t="shared" si="13"/>
        <v>109.99999999999993</v>
      </c>
      <c r="W12" s="25"/>
      <c r="X12" s="25"/>
      <c r="Y12" s="25"/>
      <c r="Z12" s="25"/>
      <c r="AA12" s="568"/>
      <c r="AB12" s="569"/>
      <c r="AC12" s="50"/>
      <c r="AD12" s="27"/>
      <c r="AE12" s="20">
        <f t="shared" si="8"/>
        <v>-62.727272727271838</v>
      </c>
      <c r="AF12" s="372">
        <f t="shared" si="9"/>
        <v>0.9581818181818188</v>
      </c>
      <c r="AG12" s="573"/>
    </row>
    <row r="13" spans="1:33" ht="16.5" customHeight="1">
      <c r="A13" s="602" t="s">
        <v>2243</v>
      </c>
      <c r="B13" s="39" t="s">
        <v>2245</v>
      </c>
      <c r="C13" s="576"/>
      <c r="D13" s="576"/>
      <c r="E13" s="373"/>
      <c r="F13" s="43"/>
      <c r="G13" s="19"/>
      <c r="H13" s="377"/>
      <c r="I13" s="32">
        <v>17.25</v>
      </c>
      <c r="J13" s="43">
        <v>1500</v>
      </c>
      <c r="K13" s="18">
        <f t="shared" si="1"/>
        <v>86.956521739130437</v>
      </c>
      <c r="L13" s="32">
        <v>17.25</v>
      </c>
      <c r="M13" s="19">
        <f>AVERAGE(M9:M12)</f>
        <v>1432.3063684220756</v>
      </c>
      <c r="N13" s="18">
        <f t="shared" si="3"/>
        <v>83.032253241859451</v>
      </c>
      <c r="O13" s="20">
        <f t="shared" si="4"/>
        <v>0</v>
      </c>
      <c r="P13" s="21">
        <f t="shared" si="5"/>
        <v>-3.9242684972709867</v>
      </c>
      <c r="Q13" s="372">
        <f t="shared" si="6"/>
        <v>0.95487091228138365</v>
      </c>
      <c r="R13" s="573"/>
      <c r="S13" s="49"/>
      <c r="T13" s="49"/>
      <c r="U13" s="18"/>
      <c r="V13" s="375"/>
      <c r="W13" s="18"/>
      <c r="X13" s="18"/>
      <c r="Y13" s="33">
        <f>SUM(Y9:Y12)</f>
        <v>0</v>
      </c>
      <c r="Z13" s="33">
        <f>SUM(Z9:Z12)</f>
        <v>0</v>
      </c>
      <c r="AA13" s="572"/>
      <c r="AB13" s="572"/>
      <c r="AC13" s="33">
        <v>4</v>
      </c>
      <c r="AD13" s="33">
        <f>SUM(AD9:AD12)</f>
        <v>0</v>
      </c>
      <c r="AE13" s="20">
        <f t="shared" si="8"/>
        <v>-67.693631577924407</v>
      </c>
      <c r="AF13" s="372">
        <f t="shared" si="9"/>
        <v>0.95487091228138377</v>
      </c>
      <c r="AG13" s="573"/>
    </row>
    <row r="14" spans="1:33" ht="16.5" customHeight="1">
      <c r="A14" s="600" t="s">
        <v>2246</v>
      </c>
      <c r="B14" s="377" t="s">
        <v>82</v>
      </c>
      <c r="C14" s="594" t="s">
        <v>83</v>
      </c>
      <c r="D14" s="594"/>
      <c r="E14" s="39">
        <v>41</v>
      </c>
      <c r="F14" s="377">
        <v>1322</v>
      </c>
      <c r="G14" s="371">
        <f t="shared" ref="G14:G17" si="15">E14*F14</f>
        <v>54202</v>
      </c>
      <c r="H14" s="48" t="s">
        <v>126</v>
      </c>
      <c r="I14" s="374">
        <v>26</v>
      </c>
      <c r="J14" s="43">
        <v>1500</v>
      </c>
      <c r="K14" s="18">
        <f t="shared" si="1"/>
        <v>57.692307692307693</v>
      </c>
      <c r="L14" s="374">
        <v>26</v>
      </c>
      <c r="M14" s="19">
        <f t="shared" ref="M14:M17" si="16">F14/V14*60</f>
        <v>1442.181818181818</v>
      </c>
      <c r="N14" s="18">
        <f t="shared" si="3"/>
        <v>55.468531468531459</v>
      </c>
      <c r="O14" s="20">
        <f t="shared" si="4"/>
        <v>0</v>
      </c>
      <c r="P14" s="21">
        <f t="shared" si="5"/>
        <v>-2.223776223776234</v>
      </c>
      <c r="Q14" s="372">
        <f t="shared" si="6"/>
        <v>0.96145454545454523</v>
      </c>
      <c r="R14" s="573">
        <f>Q18</f>
        <v>0.9597512487512484</v>
      </c>
      <c r="S14" s="49">
        <v>0.20833333333333334</v>
      </c>
      <c r="T14" s="49">
        <v>0.24652777777777779</v>
      </c>
      <c r="U14" s="371"/>
      <c r="V14" s="375">
        <f t="shared" ref="V14:V17" si="17">(T14-S14)*24*60</f>
        <v>55.000000000000007</v>
      </c>
      <c r="W14" s="30"/>
      <c r="X14" s="30"/>
      <c r="Y14" s="30"/>
      <c r="Z14" s="30"/>
      <c r="AA14" s="575"/>
      <c r="AB14" s="575"/>
      <c r="AC14" s="50">
        <v>4</v>
      </c>
      <c r="AD14" s="27"/>
      <c r="AE14" s="20">
        <f t="shared" si="8"/>
        <v>-57.818181818181984</v>
      </c>
      <c r="AF14" s="372">
        <f t="shared" si="9"/>
        <v>0.96145454545454534</v>
      </c>
      <c r="AG14" s="573">
        <f>AF18</f>
        <v>0.95975124875124829</v>
      </c>
    </row>
    <row r="15" spans="1:33" ht="16.5" customHeight="1">
      <c r="A15" s="601" t="s">
        <v>2247</v>
      </c>
      <c r="B15" s="377" t="s">
        <v>74</v>
      </c>
      <c r="C15" s="594" t="s">
        <v>85</v>
      </c>
      <c r="D15" s="594"/>
      <c r="E15" s="39">
        <v>53.68</v>
      </c>
      <c r="F15" s="377">
        <v>962</v>
      </c>
      <c r="G15" s="371">
        <f t="shared" si="15"/>
        <v>51640.159999999996</v>
      </c>
      <c r="H15" s="48" t="s">
        <v>126</v>
      </c>
      <c r="I15" s="374">
        <v>16</v>
      </c>
      <c r="J15" s="43">
        <v>1500</v>
      </c>
      <c r="K15" s="18">
        <f t="shared" si="1"/>
        <v>93.75</v>
      </c>
      <c r="L15" s="374">
        <v>16</v>
      </c>
      <c r="M15" s="19">
        <f t="shared" si="16"/>
        <v>1442.9999999999993</v>
      </c>
      <c r="N15" s="18">
        <f t="shared" si="3"/>
        <v>90.187499999999957</v>
      </c>
      <c r="O15" s="20">
        <f t="shared" si="4"/>
        <v>0</v>
      </c>
      <c r="P15" s="21">
        <f t="shared" si="5"/>
        <v>-3.5625000000000426</v>
      </c>
      <c r="Q15" s="372">
        <f t="shared" si="6"/>
        <v>0.96199999999999952</v>
      </c>
      <c r="R15" s="573"/>
      <c r="S15" s="49">
        <v>0.70833333333333337</v>
      </c>
      <c r="T15" s="49">
        <v>0.73611111111111116</v>
      </c>
      <c r="U15" s="371" t="str">
        <f t="shared" ref="U15:U17" si="18">IF(S15=TIME(17,0,0),"",(S15-T14)*24*60)</f>
        <v/>
      </c>
      <c r="V15" s="375">
        <f t="shared" si="17"/>
        <v>40.000000000000014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-57.000000000000682</v>
      </c>
      <c r="AF15" s="372">
        <f t="shared" si="9"/>
        <v>0.96199999999999952</v>
      </c>
      <c r="AG15" s="573"/>
    </row>
    <row r="16" spans="1:33" ht="16.5" customHeight="1">
      <c r="A16" s="601" t="s">
        <v>2247</v>
      </c>
      <c r="B16" s="377" t="s">
        <v>74</v>
      </c>
      <c r="C16" s="594" t="s">
        <v>78</v>
      </c>
      <c r="D16" s="594"/>
      <c r="E16" s="39">
        <v>52.86</v>
      </c>
      <c r="F16" s="377">
        <v>1253</v>
      </c>
      <c r="G16" s="371">
        <f t="shared" si="15"/>
        <v>66233.58</v>
      </c>
      <c r="H16" s="48" t="s">
        <v>126</v>
      </c>
      <c r="I16" s="374">
        <v>16</v>
      </c>
      <c r="J16" s="43">
        <v>2000</v>
      </c>
      <c r="K16" s="18">
        <f t="shared" si="1"/>
        <v>125</v>
      </c>
      <c r="L16" s="374">
        <v>16</v>
      </c>
      <c r="M16" s="19">
        <f t="shared" si="16"/>
        <v>1927.6923076923067</v>
      </c>
      <c r="N16" s="18">
        <f t="shared" si="3"/>
        <v>120.48076923076917</v>
      </c>
      <c r="O16" s="20">
        <f t="shared" si="4"/>
        <v>0</v>
      </c>
      <c r="P16" s="21">
        <f t="shared" si="5"/>
        <v>-4.5192307692308304</v>
      </c>
      <c r="Q16" s="372">
        <f t="shared" si="6"/>
        <v>0.96384615384615335</v>
      </c>
      <c r="R16" s="573"/>
      <c r="S16" s="49">
        <v>0.74097222222222225</v>
      </c>
      <c r="T16" s="49">
        <v>0.7680555555555556</v>
      </c>
      <c r="U16" s="371">
        <f t="shared" si="18"/>
        <v>6.9999999999999751</v>
      </c>
      <c r="V16" s="375">
        <f t="shared" si="17"/>
        <v>39.000000000000021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-72.307692307693287</v>
      </c>
      <c r="AF16" s="372">
        <f t="shared" si="9"/>
        <v>0.96384615384615335</v>
      </c>
      <c r="AG16" s="573"/>
    </row>
    <row r="17" spans="1:33" ht="16.5" customHeight="1">
      <c r="A17" s="601" t="s">
        <v>2248</v>
      </c>
      <c r="B17" s="377" t="s">
        <v>74</v>
      </c>
      <c r="C17" s="594" t="s">
        <v>1826</v>
      </c>
      <c r="D17" s="594"/>
      <c r="E17" s="39">
        <v>51.06</v>
      </c>
      <c r="F17" s="377">
        <v>2477</v>
      </c>
      <c r="G17" s="371">
        <f t="shared" si="15"/>
        <v>126475.62000000001</v>
      </c>
      <c r="H17" s="48" t="s">
        <v>126</v>
      </c>
      <c r="I17" s="374">
        <v>13</v>
      </c>
      <c r="J17" s="43">
        <v>2000</v>
      </c>
      <c r="K17" s="18">
        <f t="shared" si="1"/>
        <v>153.84615384615384</v>
      </c>
      <c r="L17" s="374">
        <v>13</v>
      </c>
      <c r="M17" s="19">
        <f t="shared" si="16"/>
        <v>1905.3846153846143</v>
      </c>
      <c r="N17" s="18">
        <f t="shared" si="3"/>
        <v>146.56804733727802</v>
      </c>
      <c r="O17" s="20">
        <f t="shared" si="4"/>
        <v>0</v>
      </c>
      <c r="P17" s="21">
        <f t="shared" si="5"/>
        <v>-7.2781065088758226</v>
      </c>
      <c r="Q17" s="372">
        <f t="shared" si="6"/>
        <v>0.95269230769230717</v>
      </c>
      <c r="R17" s="573"/>
      <c r="S17" s="49">
        <v>0.7729166666666667</v>
      </c>
      <c r="T17" s="49">
        <v>0.82708333333333339</v>
      </c>
      <c r="U17" s="371">
        <f t="shared" si="18"/>
        <v>6.9999999999999751</v>
      </c>
      <c r="V17" s="375">
        <f t="shared" si="17"/>
        <v>78.000000000000043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-94.615384615385665</v>
      </c>
      <c r="AF17" s="372">
        <f t="shared" si="9"/>
        <v>0.95269230769230717</v>
      </c>
      <c r="AG17" s="573"/>
    </row>
    <row r="18" spans="1:33" ht="16.5" customHeight="1">
      <c r="A18" s="601" t="s">
        <v>2247</v>
      </c>
      <c r="B18" s="39" t="s">
        <v>2249</v>
      </c>
      <c r="C18" s="576"/>
      <c r="D18" s="576"/>
      <c r="E18" s="373"/>
      <c r="F18" s="42"/>
      <c r="G18" s="18"/>
      <c r="H18" s="377"/>
      <c r="I18" s="32">
        <v>17.75</v>
      </c>
      <c r="J18" s="43">
        <v>1750</v>
      </c>
      <c r="K18" s="18">
        <f t="shared" si="1"/>
        <v>98.591549295774641</v>
      </c>
      <c r="L18" s="32">
        <v>17.75</v>
      </c>
      <c r="M18" s="19">
        <f>AVERAGE(M14:M17)</f>
        <v>1679.5646853146845</v>
      </c>
      <c r="N18" s="18">
        <f t="shared" si="3"/>
        <v>94.62336255293998</v>
      </c>
      <c r="O18" s="20">
        <f t="shared" si="4"/>
        <v>0</v>
      </c>
      <c r="P18" s="21">
        <f t="shared" si="5"/>
        <v>-3.9681867428346607</v>
      </c>
      <c r="Q18" s="372">
        <f t="shared" si="6"/>
        <v>0.9597512487512484</v>
      </c>
      <c r="R18" s="573"/>
      <c r="S18" s="49"/>
      <c r="T18" s="49"/>
      <c r="U18" s="371"/>
      <c r="V18" s="375"/>
      <c r="W18" s="18"/>
      <c r="X18" s="18"/>
      <c r="Y18" s="33">
        <f>SUM(Y14:Y17)</f>
        <v>0</v>
      </c>
      <c r="Z18" s="33">
        <f>SUM(Z14:Z17)</f>
        <v>0</v>
      </c>
      <c r="AA18" s="572"/>
      <c r="AB18" s="572"/>
      <c r="AC18" s="33">
        <v>4</v>
      </c>
      <c r="AD18" s="33">
        <f>SUM(AD14:AD17)</f>
        <v>0</v>
      </c>
      <c r="AE18" s="20">
        <f t="shared" si="8"/>
        <v>-70.435314685315461</v>
      </c>
      <c r="AF18" s="372">
        <f t="shared" si="9"/>
        <v>0.95975124875124829</v>
      </c>
      <c r="AG18" s="573"/>
    </row>
    <row r="19" spans="1:33" ht="15.75" customHeight="1">
      <c r="A19" s="596" t="s">
        <v>2250</v>
      </c>
      <c r="B19" s="39" t="s">
        <v>74</v>
      </c>
      <c r="C19" s="594" t="s">
        <v>84</v>
      </c>
      <c r="D19" s="594"/>
      <c r="E19" s="39">
        <v>54.09</v>
      </c>
      <c r="F19" s="377">
        <v>1470</v>
      </c>
      <c r="G19" s="371">
        <f t="shared" ref="G19:G24" si="19">E19*F19</f>
        <v>79512.3</v>
      </c>
      <c r="H19" s="48" t="s">
        <v>126</v>
      </c>
      <c r="I19" s="374">
        <v>17</v>
      </c>
      <c r="J19" s="43">
        <v>1500</v>
      </c>
      <c r="K19" s="18">
        <f t="shared" si="1"/>
        <v>88.235294117647058</v>
      </c>
      <c r="L19" s="374">
        <v>17</v>
      </c>
      <c r="M19" s="19">
        <f t="shared" ref="M19:M24" si="20">F19/V19*60</f>
        <v>1445.9016393442625</v>
      </c>
      <c r="N19" s="18">
        <f t="shared" si="3"/>
        <v>85.053037608486036</v>
      </c>
      <c r="O19" s="20">
        <f t="shared" si="4"/>
        <v>0</v>
      </c>
      <c r="P19" s="21">
        <f t="shared" si="5"/>
        <v>-3.1822565091610215</v>
      </c>
      <c r="Q19" s="372">
        <f t="shared" si="6"/>
        <v>0.96393442622950842</v>
      </c>
      <c r="R19" s="573">
        <f>Q25</f>
        <v>0.95831092849115285</v>
      </c>
      <c r="S19" s="49">
        <v>0.20833333333333334</v>
      </c>
      <c r="T19" s="49">
        <v>0.25069444444444444</v>
      </c>
      <c r="U19" s="371"/>
      <c r="V19" s="375">
        <f t="shared" ref="V19:V24" si="21">(T19-S19)*24*60</f>
        <v>60.999999999999986</v>
      </c>
      <c r="W19" s="30"/>
      <c r="X19" s="30"/>
      <c r="Y19" s="30"/>
      <c r="Z19" s="30"/>
      <c r="AA19" s="575"/>
      <c r="AB19" s="575"/>
      <c r="AC19" s="50">
        <v>6</v>
      </c>
      <c r="AD19" s="27"/>
      <c r="AE19" s="20">
        <f t="shared" si="8"/>
        <v>-54.098360655737451</v>
      </c>
      <c r="AF19" s="372">
        <f t="shared" si="9"/>
        <v>0.96393442622950831</v>
      </c>
      <c r="AG19" s="573">
        <f>AF25</f>
        <v>0.95831092849115285</v>
      </c>
    </row>
    <row r="20" spans="1:33" ht="15.75" customHeight="1">
      <c r="A20" s="597" t="s">
        <v>517</v>
      </c>
      <c r="B20" s="39" t="s">
        <v>74</v>
      </c>
      <c r="C20" s="594" t="s">
        <v>89</v>
      </c>
      <c r="D20" s="594"/>
      <c r="E20" s="39">
        <v>50.67</v>
      </c>
      <c r="F20" s="377">
        <v>1567</v>
      </c>
      <c r="G20" s="371">
        <f t="shared" si="19"/>
        <v>79399.89</v>
      </c>
      <c r="H20" s="48" t="s">
        <v>126</v>
      </c>
      <c r="I20" s="374">
        <v>17</v>
      </c>
      <c r="J20" s="43">
        <v>2000</v>
      </c>
      <c r="K20" s="18">
        <f t="shared" si="1"/>
        <v>117.64705882352941</v>
      </c>
      <c r="L20" s="374">
        <v>17</v>
      </c>
      <c r="M20" s="19">
        <f t="shared" si="20"/>
        <v>1918.7755102040821</v>
      </c>
      <c r="N20" s="18">
        <f t="shared" si="3"/>
        <v>112.86914765906366</v>
      </c>
      <c r="O20" s="20">
        <f t="shared" si="4"/>
        <v>0</v>
      </c>
      <c r="P20" s="21">
        <f t="shared" si="5"/>
        <v>-4.777911164465749</v>
      </c>
      <c r="Q20" s="372">
        <f t="shared" si="6"/>
        <v>0.95938775510204111</v>
      </c>
      <c r="R20" s="573"/>
      <c r="S20" s="49">
        <v>0.25624999999999998</v>
      </c>
      <c r="T20" s="49">
        <v>0.29027777777777775</v>
      </c>
      <c r="U20" s="371">
        <f t="shared" ref="U20:U24" si="22">IF(S20=TIME(17,0,0),"",(S20-T19)*24*60)</f>
        <v>7.9999999999999716</v>
      </c>
      <c r="V20" s="375">
        <f t="shared" si="21"/>
        <v>48.999999999999986</v>
      </c>
      <c r="W20" s="25"/>
      <c r="X20" s="371"/>
      <c r="Y20" s="371"/>
      <c r="Z20" s="371"/>
      <c r="AA20" s="575"/>
      <c r="AB20" s="575"/>
      <c r="AC20" s="50"/>
      <c r="AD20" s="27"/>
      <c r="AE20" s="20">
        <f t="shared" si="8"/>
        <v>-81.224489795917862</v>
      </c>
      <c r="AF20" s="372">
        <f t="shared" si="9"/>
        <v>0.95938775510204111</v>
      </c>
      <c r="AG20" s="573"/>
    </row>
    <row r="21" spans="1:33" ht="15.75" customHeight="1">
      <c r="A21" s="597" t="s">
        <v>2251</v>
      </c>
      <c r="B21" s="39" t="s">
        <v>74</v>
      </c>
      <c r="C21" s="594" t="s">
        <v>90</v>
      </c>
      <c r="D21" s="594"/>
      <c r="E21" s="39">
        <v>57.73</v>
      </c>
      <c r="F21" s="377">
        <v>1889</v>
      </c>
      <c r="G21" s="371">
        <f t="shared" si="19"/>
        <v>109051.97</v>
      </c>
      <c r="H21" s="48" t="s">
        <v>126</v>
      </c>
      <c r="I21" s="374">
        <v>14</v>
      </c>
      <c r="J21" s="43">
        <v>2000</v>
      </c>
      <c r="K21" s="18">
        <f t="shared" si="1"/>
        <v>142.85714285714286</v>
      </c>
      <c r="L21" s="374">
        <v>14</v>
      </c>
      <c r="M21" s="19">
        <f t="shared" si="20"/>
        <v>1921.0169491525417</v>
      </c>
      <c r="N21" s="18">
        <f t="shared" si="3"/>
        <v>137.21549636803869</v>
      </c>
      <c r="O21" s="20">
        <f t="shared" si="4"/>
        <v>0</v>
      </c>
      <c r="P21" s="21">
        <f t="shared" si="5"/>
        <v>-5.6416464891041755</v>
      </c>
      <c r="Q21" s="372">
        <f t="shared" si="6"/>
        <v>0.96050847457627075</v>
      </c>
      <c r="R21" s="573"/>
      <c r="S21" s="49">
        <v>0.29513888888888884</v>
      </c>
      <c r="T21" s="49">
        <v>0.33611111111111108</v>
      </c>
      <c r="U21" s="371">
        <f t="shared" si="22"/>
        <v>6.9999999999999751</v>
      </c>
      <c r="V21" s="375">
        <f t="shared" si="21"/>
        <v>59.000000000000028</v>
      </c>
      <c r="W21" s="25"/>
      <c r="X21" s="371"/>
      <c r="Y21" s="371"/>
      <c r="Z21" s="371"/>
      <c r="AA21" s="575"/>
      <c r="AB21" s="575"/>
      <c r="AC21" s="50"/>
      <c r="AD21" s="27"/>
      <c r="AE21" s="20">
        <f t="shared" si="8"/>
        <v>-78.983050847458344</v>
      </c>
      <c r="AF21" s="372">
        <f t="shared" si="9"/>
        <v>0.96050847457627087</v>
      </c>
      <c r="AG21" s="573"/>
    </row>
    <row r="22" spans="1:33" ht="15.75" customHeight="1">
      <c r="A22" s="597" t="s">
        <v>2252</v>
      </c>
      <c r="B22" s="39" t="s">
        <v>74</v>
      </c>
      <c r="C22" s="594" t="s">
        <v>1232</v>
      </c>
      <c r="D22" s="594"/>
      <c r="E22" s="39">
        <v>53.27</v>
      </c>
      <c r="F22" s="377">
        <v>2543</v>
      </c>
      <c r="G22" s="371">
        <f t="shared" si="19"/>
        <v>135465.61000000002</v>
      </c>
      <c r="H22" s="48" t="s">
        <v>126</v>
      </c>
      <c r="I22" s="374">
        <v>16</v>
      </c>
      <c r="J22" s="43">
        <v>2000</v>
      </c>
      <c r="K22" s="18">
        <f t="shared" si="1"/>
        <v>125</v>
      </c>
      <c r="L22" s="374">
        <v>16</v>
      </c>
      <c r="M22" s="19">
        <f t="shared" si="20"/>
        <v>1907.2500000000009</v>
      </c>
      <c r="N22" s="18">
        <f t="shared" si="3"/>
        <v>119.20312500000006</v>
      </c>
      <c r="O22" s="20">
        <f t="shared" si="4"/>
        <v>0</v>
      </c>
      <c r="P22" s="21">
        <f t="shared" si="5"/>
        <v>-5.7968749999999432</v>
      </c>
      <c r="Q22" s="372">
        <f t="shared" si="6"/>
        <v>0.9536250000000005</v>
      </c>
      <c r="R22" s="573"/>
      <c r="S22" s="49">
        <v>0.34166666666666662</v>
      </c>
      <c r="T22" s="49">
        <v>0.39722222222222214</v>
      </c>
      <c r="U22" s="371">
        <f t="shared" si="22"/>
        <v>7.9999999999999716</v>
      </c>
      <c r="V22" s="375">
        <f t="shared" si="21"/>
        <v>79.999999999999957</v>
      </c>
      <c r="W22" s="25"/>
      <c r="X22" s="371"/>
      <c r="Y22" s="371"/>
      <c r="Z22" s="371"/>
      <c r="AA22" s="575"/>
      <c r="AB22" s="575"/>
      <c r="AC22" s="50"/>
      <c r="AD22" s="27"/>
      <c r="AE22" s="20">
        <f t="shared" si="8"/>
        <v>-92.749999999999091</v>
      </c>
      <c r="AF22" s="372">
        <f t="shared" si="9"/>
        <v>0.9536250000000005</v>
      </c>
      <c r="AG22" s="573"/>
    </row>
    <row r="23" spans="1:33" ht="15.75" customHeight="1">
      <c r="A23" s="597" t="s">
        <v>517</v>
      </c>
      <c r="B23" s="39" t="s">
        <v>74</v>
      </c>
      <c r="C23" s="594" t="s">
        <v>92</v>
      </c>
      <c r="D23" s="594"/>
      <c r="E23" s="39">
        <v>50.49</v>
      </c>
      <c r="F23" s="377">
        <v>1532</v>
      </c>
      <c r="G23" s="371">
        <f t="shared" si="19"/>
        <v>77350.680000000008</v>
      </c>
      <c r="H23" s="48" t="s">
        <v>126</v>
      </c>
      <c r="I23" s="374">
        <v>15</v>
      </c>
      <c r="J23" s="43">
        <v>2000</v>
      </c>
      <c r="K23" s="18">
        <f t="shared" si="1"/>
        <v>133.33333333333334</v>
      </c>
      <c r="L23" s="374">
        <v>15</v>
      </c>
      <c r="M23" s="19">
        <f t="shared" si="20"/>
        <v>1915.0000000000005</v>
      </c>
      <c r="N23" s="18">
        <f t="shared" si="3"/>
        <v>127.6666666666667</v>
      </c>
      <c r="O23" s="20">
        <f t="shared" si="4"/>
        <v>0</v>
      </c>
      <c r="P23" s="21">
        <f t="shared" si="5"/>
        <v>-5.666666666666643</v>
      </c>
      <c r="Q23" s="372">
        <f t="shared" si="6"/>
        <v>0.95750000000000013</v>
      </c>
      <c r="R23" s="573"/>
      <c r="S23" s="49">
        <v>0.70833333333333337</v>
      </c>
      <c r="T23" s="49">
        <v>0.7416666666666667</v>
      </c>
      <c r="U23" s="371" t="str">
        <f t="shared" si="22"/>
        <v/>
      </c>
      <c r="V23" s="375">
        <f t="shared" si="21"/>
        <v>47.999999999999986</v>
      </c>
      <c r="W23" s="25"/>
      <c r="X23" s="25"/>
      <c r="Y23" s="371"/>
      <c r="Z23" s="371"/>
      <c r="AA23" s="575"/>
      <c r="AB23" s="575"/>
      <c r="AC23" s="50"/>
      <c r="AD23" s="27"/>
      <c r="AE23" s="20">
        <f t="shared" si="8"/>
        <v>-84.999999999999545</v>
      </c>
      <c r="AF23" s="372">
        <f t="shared" si="9"/>
        <v>0.95750000000000024</v>
      </c>
      <c r="AG23" s="573"/>
    </row>
    <row r="24" spans="1:33" ht="15.75" customHeight="1">
      <c r="A24" s="597" t="s">
        <v>2251</v>
      </c>
      <c r="B24" s="39" t="s">
        <v>74</v>
      </c>
      <c r="C24" s="594" t="s">
        <v>93</v>
      </c>
      <c r="D24" s="594"/>
      <c r="E24" s="39">
        <v>50.98</v>
      </c>
      <c r="F24" s="377">
        <v>1817</v>
      </c>
      <c r="G24" s="371">
        <f t="shared" si="19"/>
        <v>92630.659999999989</v>
      </c>
      <c r="H24" s="48" t="s">
        <v>126</v>
      </c>
      <c r="I24" s="374">
        <v>16</v>
      </c>
      <c r="J24" s="43">
        <v>2000</v>
      </c>
      <c r="K24" s="18">
        <f t="shared" si="1"/>
        <v>125</v>
      </c>
      <c r="L24" s="374">
        <v>16</v>
      </c>
      <c r="M24" s="19">
        <f t="shared" si="20"/>
        <v>1912.6315789473699</v>
      </c>
      <c r="N24" s="18">
        <f t="shared" si="3"/>
        <v>119.53947368421062</v>
      </c>
      <c r="O24" s="20">
        <f t="shared" si="4"/>
        <v>0</v>
      </c>
      <c r="P24" s="21">
        <f t="shared" si="5"/>
        <v>-5.4605263157893802</v>
      </c>
      <c r="Q24" s="372">
        <f t="shared" si="6"/>
        <v>0.95631578947368501</v>
      </c>
      <c r="R24" s="573"/>
      <c r="S24" s="49">
        <v>0.74652777777777779</v>
      </c>
      <c r="T24" s="49">
        <v>0.78611111111111109</v>
      </c>
      <c r="U24" s="371">
        <f t="shared" si="22"/>
        <v>6.9999999999999751</v>
      </c>
      <c r="V24" s="375">
        <f t="shared" si="21"/>
        <v>56.999999999999957</v>
      </c>
      <c r="W24" s="25"/>
      <c r="X24" s="30"/>
      <c r="Y24" s="30"/>
      <c r="Z24" s="30"/>
      <c r="AA24" s="575"/>
      <c r="AB24" s="575"/>
      <c r="AC24" s="50"/>
      <c r="AD24" s="27"/>
      <c r="AE24" s="20">
        <f t="shared" si="8"/>
        <v>-87.368421052630083</v>
      </c>
      <c r="AF24" s="372">
        <f t="shared" si="9"/>
        <v>0.95631578947368501</v>
      </c>
      <c r="AG24" s="573"/>
    </row>
    <row r="25" spans="1:33" ht="15.75" customHeight="1">
      <c r="A25" s="597" t="s">
        <v>2253</v>
      </c>
      <c r="B25" s="39" t="s">
        <v>2254</v>
      </c>
      <c r="C25" s="576"/>
      <c r="D25" s="576"/>
      <c r="E25" s="373"/>
      <c r="F25" s="377"/>
      <c r="G25" s="371"/>
      <c r="H25" s="377"/>
      <c r="I25" s="32">
        <v>15.833333333333334</v>
      </c>
      <c r="J25" s="43">
        <v>1916.6666666666667</v>
      </c>
      <c r="K25" s="18">
        <f t="shared" si="1"/>
        <v>121.05263157894737</v>
      </c>
      <c r="L25" s="32">
        <v>15.833333333333334</v>
      </c>
      <c r="M25" s="19">
        <f>AVERAGE(M19:M24)</f>
        <v>1836.7626129413763</v>
      </c>
      <c r="N25" s="18">
        <f t="shared" si="3"/>
        <v>116.0060597647185</v>
      </c>
      <c r="O25" s="20">
        <f t="shared" si="4"/>
        <v>0</v>
      </c>
      <c r="P25" s="21">
        <f t="shared" si="5"/>
        <v>-5.0465718142288694</v>
      </c>
      <c r="Q25" s="372">
        <f t="shared" si="6"/>
        <v>0.95831092849115285</v>
      </c>
      <c r="R25" s="573"/>
      <c r="S25" s="49"/>
      <c r="T25" s="49"/>
      <c r="U25" s="18"/>
      <c r="V25" s="375"/>
      <c r="W25" s="18"/>
      <c r="X25" s="18"/>
      <c r="Y25" s="33">
        <f>SUM(Y19:Y24)</f>
        <v>0</v>
      </c>
      <c r="Z25" s="33">
        <f>SUM(Z19:Z24)</f>
        <v>0</v>
      </c>
      <c r="AA25" s="572"/>
      <c r="AB25" s="572"/>
      <c r="AC25" s="33">
        <v>6</v>
      </c>
      <c r="AD25" s="33">
        <f>SUM(AD19:AD24)</f>
        <v>0</v>
      </c>
      <c r="AE25" s="20">
        <f t="shared" si="8"/>
        <v>-79.904053725290396</v>
      </c>
      <c r="AF25" s="372">
        <f t="shared" si="9"/>
        <v>0.95831092849115285</v>
      </c>
      <c r="AG25" s="573"/>
    </row>
    <row r="26" spans="1:33" ht="15.75" customHeight="1">
      <c r="A26" s="595" t="s">
        <v>2255</v>
      </c>
      <c r="B26" s="39" t="s">
        <v>94</v>
      </c>
      <c r="C26" s="594" t="s">
        <v>95</v>
      </c>
      <c r="D26" s="594"/>
      <c r="E26" s="39">
        <v>31.29</v>
      </c>
      <c r="F26" s="377">
        <v>4700</v>
      </c>
      <c r="G26" s="371">
        <f t="shared" ref="G26:G32" si="23">E26*F26</f>
        <v>147063</v>
      </c>
      <c r="H26" s="48">
        <v>2</v>
      </c>
      <c r="I26" s="374">
        <v>18</v>
      </c>
      <c r="J26" s="43">
        <v>2400</v>
      </c>
      <c r="K26" s="18">
        <f t="shared" si="1"/>
        <v>133.33333333333334</v>
      </c>
      <c r="L26" s="374">
        <v>18</v>
      </c>
      <c r="M26" s="19">
        <f t="shared" ref="M26:M32" si="24">F26/V26*60</f>
        <v>2292.6829268292686</v>
      </c>
      <c r="N26" s="18">
        <f t="shared" si="3"/>
        <v>127.37127371273715</v>
      </c>
      <c r="O26" s="20">
        <f t="shared" si="4"/>
        <v>0</v>
      </c>
      <c r="P26" s="21">
        <f t="shared" si="5"/>
        <v>-5.9620596205961931</v>
      </c>
      <c r="Q26" s="372">
        <f t="shared" si="6"/>
        <v>0.9552845528455286</v>
      </c>
      <c r="R26" s="573">
        <f>Q33</f>
        <v>0.95529100506888953</v>
      </c>
      <c r="S26" s="49">
        <v>8.3333333333333329E-2</v>
      </c>
      <c r="T26" s="49">
        <v>0.16874999999999998</v>
      </c>
      <c r="U26" s="371"/>
      <c r="V26" s="375">
        <f t="shared" ref="V26:V32" si="25">(T26-S26)*24*60</f>
        <v>122.99999999999999</v>
      </c>
      <c r="W26" s="25">
        <f>T26</f>
        <v>0.16874999999999998</v>
      </c>
      <c r="X26" s="25">
        <f>S27</f>
        <v>0.18888888888888888</v>
      </c>
      <c r="Y26" s="25"/>
      <c r="Z26" s="25"/>
      <c r="AA26" s="575"/>
      <c r="AB26" s="575"/>
      <c r="AC26" s="50">
        <v>7</v>
      </c>
      <c r="AD26" s="27"/>
      <c r="AE26" s="20">
        <f t="shared" si="8"/>
        <v>-107.31707317073142</v>
      </c>
      <c r="AF26" s="372">
        <f t="shared" si="9"/>
        <v>0.9552845528455286</v>
      </c>
      <c r="AG26" s="573">
        <f>AF33</f>
        <v>0.95529100506888953</v>
      </c>
    </row>
    <row r="27" spans="1:33" ht="15.75" customHeight="1">
      <c r="A27" s="595" t="s">
        <v>2256</v>
      </c>
      <c r="B27" s="39" t="s">
        <v>94</v>
      </c>
      <c r="C27" s="594" t="s">
        <v>97</v>
      </c>
      <c r="D27" s="594"/>
      <c r="E27" s="39">
        <v>26.37</v>
      </c>
      <c r="F27" s="377">
        <v>5629</v>
      </c>
      <c r="G27" s="371">
        <f t="shared" si="23"/>
        <v>148436.73000000001</v>
      </c>
      <c r="H27" s="48" t="s">
        <v>126</v>
      </c>
      <c r="I27" s="374">
        <v>18</v>
      </c>
      <c r="J27" s="43">
        <v>2400</v>
      </c>
      <c r="K27" s="18">
        <f t="shared" si="1"/>
        <v>133.33333333333334</v>
      </c>
      <c r="L27" s="374">
        <v>18</v>
      </c>
      <c r="M27" s="19">
        <f t="shared" si="24"/>
        <v>2282.0270270270266</v>
      </c>
      <c r="N27" s="18">
        <f t="shared" si="3"/>
        <v>126.77927927927925</v>
      </c>
      <c r="O27" s="20">
        <f t="shared" si="4"/>
        <v>0</v>
      </c>
      <c r="P27" s="21">
        <f t="shared" si="5"/>
        <v>-6.5540540540540917</v>
      </c>
      <c r="Q27" s="372">
        <f t="shared" si="6"/>
        <v>0.95084459459459436</v>
      </c>
      <c r="R27" s="573"/>
      <c r="S27" s="49">
        <v>0.18888888888888888</v>
      </c>
      <c r="T27" s="49">
        <v>0.29166666666666669</v>
      </c>
      <c r="U27" s="371">
        <f t="shared" ref="U27:U32" si="26">(S27-T26)*24*60</f>
        <v>29.000000000000018</v>
      </c>
      <c r="V27" s="375">
        <f t="shared" si="25"/>
        <v>148.00000000000003</v>
      </c>
      <c r="W27" s="25"/>
      <c r="X27" s="25"/>
      <c r="Y27" s="25"/>
      <c r="Z27" s="25"/>
      <c r="AA27" s="575"/>
      <c r="AB27" s="575"/>
      <c r="AC27" s="50"/>
      <c r="AD27" s="27"/>
      <c r="AE27" s="20">
        <f t="shared" si="8"/>
        <v>-117.97297297297337</v>
      </c>
      <c r="AF27" s="372">
        <f t="shared" si="9"/>
        <v>0.95084459459459447</v>
      </c>
      <c r="AG27" s="573"/>
    </row>
    <row r="28" spans="1:33" ht="15.75" customHeight="1">
      <c r="A28" s="595" t="s">
        <v>2257</v>
      </c>
      <c r="B28" s="39" t="s">
        <v>94</v>
      </c>
      <c r="C28" s="594" t="s">
        <v>1231</v>
      </c>
      <c r="D28" s="594"/>
      <c r="E28" s="39">
        <v>25.99</v>
      </c>
      <c r="F28" s="377">
        <v>3829</v>
      </c>
      <c r="G28" s="371">
        <f t="shared" si="23"/>
        <v>99515.709999999992</v>
      </c>
      <c r="H28" s="48" t="s">
        <v>126</v>
      </c>
      <c r="I28" s="374">
        <v>18</v>
      </c>
      <c r="J28" s="43">
        <v>2400</v>
      </c>
      <c r="K28" s="18">
        <f t="shared" si="1"/>
        <v>133.33333333333334</v>
      </c>
      <c r="L28" s="374">
        <v>18</v>
      </c>
      <c r="M28" s="19">
        <f t="shared" si="24"/>
        <v>2297.3999999999992</v>
      </c>
      <c r="N28" s="18">
        <f t="shared" si="3"/>
        <v>127.63333333333328</v>
      </c>
      <c r="O28" s="20">
        <f t="shared" si="4"/>
        <v>0</v>
      </c>
      <c r="P28" s="21">
        <f t="shared" si="5"/>
        <v>-5.7000000000000597</v>
      </c>
      <c r="Q28" s="372">
        <f t="shared" si="6"/>
        <v>0.9572499999999996</v>
      </c>
      <c r="R28" s="573"/>
      <c r="S28" s="49">
        <v>0.29722222222222222</v>
      </c>
      <c r="T28" s="49">
        <v>0.3666666666666667</v>
      </c>
      <c r="U28" s="371">
        <f t="shared" si="26"/>
        <v>7.9999999999999716</v>
      </c>
      <c r="V28" s="375">
        <f t="shared" si="25"/>
        <v>100.00000000000004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-102.60000000000082</v>
      </c>
      <c r="AF28" s="372">
        <f t="shared" si="9"/>
        <v>0.95724999999999971</v>
      </c>
      <c r="AG28" s="573"/>
    </row>
    <row r="29" spans="1:33" ht="15.75" customHeight="1">
      <c r="A29" s="595" t="s">
        <v>2256</v>
      </c>
      <c r="B29" s="39" t="s">
        <v>94</v>
      </c>
      <c r="C29" s="594" t="s">
        <v>529</v>
      </c>
      <c r="D29" s="594"/>
      <c r="E29" s="39">
        <v>26.18</v>
      </c>
      <c r="F29" s="377">
        <v>4000</v>
      </c>
      <c r="G29" s="371">
        <f t="shared" si="23"/>
        <v>104720</v>
      </c>
      <c r="H29" s="48">
        <v>2</v>
      </c>
      <c r="I29" s="374">
        <v>18</v>
      </c>
      <c r="J29" s="43">
        <v>2400</v>
      </c>
      <c r="K29" s="18">
        <f t="shared" si="1"/>
        <v>133.33333333333334</v>
      </c>
      <c r="L29" s="374">
        <v>18</v>
      </c>
      <c r="M29" s="19">
        <f t="shared" si="24"/>
        <v>2285.7142857142853</v>
      </c>
      <c r="N29" s="18">
        <f t="shared" si="3"/>
        <v>126.98412698412696</v>
      </c>
      <c r="O29" s="20">
        <f t="shared" si="4"/>
        <v>0</v>
      </c>
      <c r="P29" s="21">
        <f t="shared" si="5"/>
        <v>-6.3492063492063835</v>
      </c>
      <c r="Q29" s="372">
        <f t="shared" si="6"/>
        <v>0.95238095238095211</v>
      </c>
      <c r="R29" s="573"/>
      <c r="S29" s="49">
        <v>0.37013888888888891</v>
      </c>
      <c r="T29" s="49">
        <v>0.44305555555555559</v>
      </c>
      <c r="U29" s="371">
        <f t="shared" si="26"/>
        <v>4.9999999999999822</v>
      </c>
      <c r="V29" s="375">
        <f t="shared" si="25"/>
        <v>105.00000000000003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-114.28571428571468</v>
      </c>
      <c r="AF29" s="372">
        <f t="shared" si="9"/>
        <v>0.95238095238095222</v>
      </c>
      <c r="AG29" s="573"/>
    </row>
    <row r="30" spans="1:33" ht="15.75" customHeight="1">
      <c r="A30" s="595" t="s">
        <v>2258</v>
      </c>
      <c r="B30" s="39" t="s">
        <v>94</v>
      </c>
      <c r="C30" s="594" t="s">
        <v>98</v>
      </c>
      <c r="D30" s="594"/>
      <c r="E30" s="39">
        <v>25.99</v>
      </c>
      <c r="F30" s="377">
        <v>3324</v>
      </c>
      <c r="G30" s="371">
        <f t="shared" si="23"/>
        <v>86390.76</v>
      </c>
      <c r="H30" s="48" t="s">
        <v>126</v>
      </c>
      <c r="I30" s="374">
        <v>14</v>
      </c>
      <c r="J30" s="43">
        <v>2400</v>
      </c>
      <c r="K30" s="18">
        <f t="shared" si="1"/>
        <v>171.42857142857142</v>
      </c>
      <c r="L30" s="374">
        <v>14</v>
      </c>
      <c r="M30" s="19">
        <f t="shared" si="24"/>
        <v>2292.4137931034502</v>
      </c>
      <c r="N30" s="18">
        <f t="shared" si="3"/>
        <v>163.74384236453216</v>
      </c>
      <c r="O30" s="20">
        <f t="shared" si="4"/>
        <v>0</v>
      </c>
      <c r="P30" s="21">
        <f t="shared" si="5"/>
        <v>-7.68472906403926</v>
      </c>
      <c r="Q30" s="372">
        <f t="shared" si="6"/>
        <v>0.95517241379310436</v>
      </c>
      <c r="R30" s="573"/>
      <c r="S30" s="49">
        <v>0.44722222222222224</v>
      </c>
      <c r="T30" s="49">
        <v>0.50763888888888886</v>
      </c>
      <c r="U30" s="371">
        <f t="shared" si="26"/>
        <v>5.9999999999999787</v>
      </c>
      <c r="V30" s="375">
        <f t="shared" si="25"/>
        <v>86.999999999999929</v>
      </c>
      <c r="W30" s="25">
        <f>T30</f>
        <v>0.50763888888888886</v>
      </c>
      <c r="X30" s="25">
        <f>S31</f>
        <v>0.54930555555555549</v>
      </c>
      <c r="Y30" s="25"/>
      <c r="Z30" s="25"/>
      <c r="AA30" s="575"/>
      <c r="AB30" s="575"/>
      <c r="AC30" s="50"/>
      <c r="AD30" s="27"/>
      <c r="AE30" s="20">
        <f t="shared" si="8"/>
        <v>-107.58620689654981</v>
      </c>
      <c r="AF30" s="372">
        <f t="shared" si="9"/>
        <v>0.95517241379310425</v>
      </c>
      <c r="AG30" s="573"/>
    </row>
    <row r="31" spans="1:33" ht="15.75" customHeight="1">
      <c r="A31" s="595" t="s">
        <v>2259</v>
      </c>
      <c r="B31" s="39" t="s">
        <v>94</v>
      </c>
      <c r="C31" s="594" t="s">
        <v>95</v>
      </c>
      <c r="D31" s="594"/>
      <c r="E31" s="39">
        <v>31.29</v>
      </c>
      <c r="F31" s="377">
        <v>2892</v>
      </c>
      <c r="G31" s="371">
        <f t="shared" si="23"/>
        <v>90490.68</v>
      </c>
      <c r="H31" s="48" t="s">
        <v>126</v>
      </c>
      <c r="I31" s="374">
        <v>18</v>
      </c>
      <c r="J31" s="43">
        <v>2400</v>
      </c>
      <c r="K31" s="18">
        <f t="shared" si="1"/>
        <v>133.33333333333334</v>
      </c>
      <c r="L31" s="374">
        <v>18</v>
      </c>
      <c r="M31" s="19">
        <f t="shared" si="24"/>
        <v>2283.1578947368407</v>
      </c>
      <c r="N31" s="18">
        <f t="shared" si="3"/>
        <v>126.84210526315782</v>
      </c>
      <c r="O31" s="20">
        <f t="shared" si="4"/>
        <v>0</v>
      </c>
      <c r="P31" s="21">
        <f t="shared" si="5"/>
        <v>-6.4912280701755236</v>
      </c>
      <c r="Q31" s="372">
        <f t="shared" si="6"/>
        <v>0.95131578947368356</v>
      </c>
      <c r="R31" s="573"/>
      <c r="S31" s="49">
        <v>0.54930555555555549</v>
      </c>
      <c r="T31" s="49">
        <v>0.6020833333333333</v>
      </c>
      <c r="U31" s="371">
        <f t="shared" si="26"/>
        <v>59.999999999999943</v>
      </c>
      <c r="V31" s="375">
        <f t="shared" si="25"/>
        <v>76.000000000000057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-116.84210526315928</v>
      </c>
      <c r="AF31" s="372">
        <f t="shared" si="9"/>
        <v>0.95131578947368367</v>
      </c>
      <c r="AG31" s="573"/>
    </row>
    <row r="32" spans="1:33" ht="15.75" customHeight="1">
      <c r="A32" s="595" t="s">
        <v>2260</v>
      </c>
      <c r="B32" s="39" t="s">
        <v>94</v>
      </c>
      <c r="C32" s="594" t="s">
        <v>529</v>
      </c>
      <c r="D32" s="594"/>
      <c r="E32" s="39">
        <v>26.18</v>
      </c>
      <c r="F32" s="377">
        <v>2740</v>
      </c>
      <c r="G32" s="371">
        <f t="shared" si="23"/>
        <v>71733.2</v>
      </c>
      <c r="H32" s="48" t="s">
        <v>126</v>
      </c>
      <c r="I32" s="374">
        <v>18</v>
      </c>
      <c r="J32" s="43">
        <v>2400</v>
      </c>
      <c r="K32" s="18">
        <f t="shared" si="1"/>
        <v>133.33333333333334</v>
      </c>
      <c r="L32" s="374">
        <v>18</v>
      </c>
      <c r="M32" s="19">
        <f t="shared" si="24"/>
        <v>2315.4929577464768</v>
      </c>
      <c r="N32" s="18">
        <f t="shared" si="3"/>
        <v>128.63849765258203</v>
      </c>
      <c r="O32" s="20">
        <f t="shared" si="4"/>
        <v>0</v>
      </c>
      <c r="P32" s="21">
        <f t="shared" si="5"/>
        <v>-4.6948356807513107</v>
      </c>
      <c r="Q32" s="372">
        <f t="shared" si="6"/>
        <v>0.96478873239436513</v>
      </c>
      <c r="R32" s="573"/>
      <c r="S32" s="49">
        <v>0.60763888888888884</v>
      </c>
      <c r="T32" s="49">
        <v>0.65694444444444444</v>
      </c>
      <c r="U32" s="371">
        <f t="shared" si="26"/>
        <v>7.9999999999999716</v>
      </c>
      <c r="V32" s="375">
        <f t="shared" si="25"/>
        <v>71.000000000000071</v>
      </c>
      <c r="W32" s="25"/>
      <c r="X32" s="25"/>
      <c r="Y32" s="25"/>
      <c r="Z32" s="25"/>
      <c r="AA32" s="575"/>
      <c r="AB32" s="575"/>
      <c r="AC32" s="50"/>
      <c r="AD32" s="27"/>
      <c r="AE32" s="20">
        <f t="shared" si="8"/>
        <v>-84.507042253523196</v>
      </c>
      <c r="AF32" s="372">
        <f t="shared" si="9"/>
        <v>0.96478873239436536</v>
      </c>
      <c r="AG32" s="573"/>
    </row>
    <row r="33" spans="1:33" ht="15.75" customHeight="1">
      <c r="A33" s="595" t="s">
        <v>2258</v>
      </c>
      <c r="B33" s="39" t="s">
        <v>2240</v>
      </c>
      <c r="C33" s="576"/>
      <c r="D33" s="576"/>
      <c r="E33" s="373"/>
      <c r="F33" s="377"/>
      <c r="G33" s="371"/>
      <c r="H33" s="377"/>
      <c r="I33" s="32">
        <v>17.428571428571427</v>
      </c>
      <c r="J33" s="43">
        <v>2400</v>
      </c>
      <c r="K33" s="18">
        <f t="shared" si="1"/>
        <v>137.70491803278691</v>
      </c>
      <c r="L33" s="32">
        <v>17.428571428571427</v>
      </c>
      <c r="M33" s="19">
        <f>AVERAGE(M26:M32)</f>
        <v>2292.698412165335</v>
      </c>
      <c r="N33" s="18">
        <f t="shared" si="3"/>
        <v>131.54826955047005</v>
      </c>
      <c r="O33" s="20">
        <f t="shared" si="4"/>
        <v>0</v>
      </c>
      <c r="P33" s="21">
        <f t="shared" si="5"/>
        <v>-6.1566484823168537</v>
      </c>
      <c r="Q33" s="372">
        <f t="shared" si="6"/>
        <v>0.95529100506888953</v>
      </c>
      <c r="R33" s="573"/>
      <c r="S33" s="49"/>
      <c r="T33" s="49"/>
      <c r="U33" s="371"/>
      <c r="V33" s="375"/>
      <c r="W33" s="371"/>
      <c r="X33" s="371"/>
      <c r="Y33" s="33">
        <f>SUM(Y26:Y32)</f>
        <v>0</v>
      </c>
      <c r="Z33" s="33">
        <f>SUM(Z26:Z32)</f>
        <v>0</v>
      </c>
      <c r="AA33" s="572"/>
      <c r="AB33" s="572"/>
      <c r="AC33" s="33">
        <v>7</v>
      </c>
      <c r="AD33" s="33">
        <f>SUM(AD26:AD32)</f>
        <v>0</v>
      </c>
      <c r="AE33" s="20">
        <f t="shared" si="8"/>
        <v>-107.30158783466504</v>
      </c>
      <c r="AF33" s="372">
        <f t="shared" si="9"/>
        <v>0.95529100506888953</v>
      </c>
      <c r="AG33" s="573"/>
    </row>
    <row r="34" spans="1:33" ht="15.75" customHeight="1">
      <c r="A34" s="592" t="s">
        <v>2261</v>
      </c>
      <c r="B34" s="39" t="s">
        <v>94</v>
      </c>
      <c r="C34" s="574" t="s">
        <v>530</v>
      </c>
      <c r="D34" s="574"/>
      <c r="E34" s="39">
        <v>26.18</v>
      </c>
      <c r="F34" s="377">
        <v>5509</v>
      </c>
      <c r="G34" s="371">
        <f t="shared" ref="G34:G39" si="27">E34*F34</f>
        <v>144225.62</v>
      </c>
      <c r="H34" s="48" t="s">
        <v>126</v>
      </c>
      <c r="I34" s="374">
        <v>20</v>
      </c>
      <c r="J34" s="43">
        <v>2400</v>
      </c>
      <c r="K34" s="18">
        <f t="shared" si="1"/>
        <v>120</v>
      </c>
      <c r="L34" s="374">
        <v>20</v>
      </c>
      <c r="M34" s="19">
        <f t="shared" ref="M34:M39" si="28">F34/V34*60</f>
        <v>2295.4166666666665</v>
      </c>
      <c r="N34" s="18">
        <f t="shared" si="3"/>
        <v>114.77083333333333</v>
      </c>
      <c r="O34" s="20">
        <f t="shared" si="4"/>
        <v>0</v>
      </c>
      <c r="P34" s="21">
        <f t="shared" si="5"/>
        <v>-5.2291666666666714</v>
      </c>
      <c r="Q34" s="372">
        <f t="shared" si="6"/>
        <v>0.95642361111111107</v>
      </c>
      <c r="R34" s="573">
        <f>Q40</f>
        <v>0.95463751193117985</v>
      </c>
      <c r="S34" s="49">
        <v>8.3333333333333329E-2</v>
      </c>
      <c r="T34" s="49">
        <v>0.18333333333333332</v>
      </c>
      <c r="U34" s="371"/>
      <c r="V34" s="375">
        <f t="shared" ref="V34:V39" si="29">(T34-S34)*24*60</f>
        <v>144</v>
      </c>
      <c r="W34" s="30">
        <f>T34</f>
        <v>0.18333333333333332</v>
      </c>
      <c r="X34" s="30">
        <f>S35</f>
        <v>0.2048611111111111</v>
      </c>
      <c r="Y34" s="30"/>
      <c r="Z34" s="30"/>
      <c r="AA34" s="575"/>
      <c r="AB34" s="575"/>
      <c r="AC34" s="50">
        <v>6</v>
      </c>
      <c r="AD34" s="27"/>
      <c r="AE34" s="20">
        <f t="shared" si="8"/>
        <v>-104.58333333333348</v>
      </c>
      <c r="AF34" s="372">
        <f t="shared" si="9"/>
        <v>0.95642361111111107</v>
      </c>
      <c r="AG34" s="573">
        <f>AF40</f>
        <v>0.95463751193117974</v>
      </c>
    </row>
    <row r="35" spans="1:33" ht="15.75" customHeight="1">
      <c r="A35" s="592" t="s">
        <v>2262</v>
      </c>
      <c r="B35" s="39" t="s">
        <v>94</v>
      </c>
      <c r="C35" s="574" t="s">
        <v>100</v>
      </c>
      <c r="D35" s="574"/>
      <c r="E35" s="39">
        <v>24.43</v>
      </c>
      <c r="F35" s="377">
        <v>5566</v>
      </c>
      <c r="G35" s="371">
        <f t="shared" si="27"/>
        <v>135977.38</v>
      </c>
      <c r="H35" s="48" t="s">
        <v>126</v>
      </c>
      <c r="I35" s="374">
        <v>14</v>
      </c>
      <c r="J35" s="43">
        <v>2400</v>
      </c>
      <c r="K35" s="18">
        <f t="shared" si="1"/>
        <v>171.42857142857142</v>
      </c>
      <c r="L35" s="374">
        <v>14</v>
      </c>
      <c r="M35" s="19">
        <f t="shared" si="28"/>
        <v>2287.3972602739732</v>
      </c>
      <c r="N35" s="18">
        <f t="shared" si="3"/>
        <v>163.38551859099809</v>
      </c>
      <c r="O35" s="20">
        <f t="shared" si="4"/>
        <v>0</v>
      </c>
      <c r="P35" s="21">
        <f t="shared" si="5"/>
        <v>-8.0430528375733275</v>
      </c>
      <c r="Q35" s="372">
        <f t="shared" si="6"/>
        <v>0.95308219178082221</v>
      </c>
      <c r="R35" s="573"/>
      <c r="S35" s="49">
        <v>0.2048611111111111</v>
      </c>
      <c r="T35" s="49">
        <v>0.30624999999999997</v>
      </c>
      <c r="U35" s="371">
        <f t="shared" ref="U35:U39" si="30">(S35-T34)*24*60</f>
        <v>31.000000000000011</v>
      </c>
      <c r="V35" s="375">
        <f t="shared" si="29"/>
        <v>145.99999999999997</v>
      </c>
      <c r="W35" s="371"/>
      <c r="X35" s="371"/>
      <c r="Y35" s="371"/>
      <c r="Z35" s="371"/>
      <c r="AA35" s="575"/>
      <c r="AB35" s="575"/>
      <c r="AC35" s="50"/>
      <c r="AD35" s="27"/>
      <c r="AE35" s="20">
        <f t="shared" si="8"/>
        <v>-112.60273972602681</v>
      </c>
      <c r="AF35" s="372">
        <f t="shared" si="9"/>
        <v>0.95308219178082221</v>
      </c>
      <c r="AG35" s="573"/>
    </row>
    <row r="36" spans="1:33">
      <c r="A36" s="593" t="s">
        <v>2263</v>
      </c>
      <c r="B36" s="39" t="s">
        <v>94</v>
      </c>
      <c r="C36" s="574" t="s">
        <v>102</v>
      </c>
      <c r="D36" s="574"/>
      <c r="E36" s="39">
        <v>34.1</v>
      </c>
      <c r="F36" s="377">
        <v>3500</v>
      </c>
      <c r="G36" s="371">
        <f t="shared" si="27"/>
        <v>119350</v>
      </c>
      <c r="H36" s="48">
        <v>2</v>
      </c>
      <c r="I36" s="374">
        <v>17</v>
      </c>
      <c r="J36" s="43">
        <v>1600</v>
      </c>
      <c r="K36" s="18">
        <f t="shared" si="1"/>
        <v>94.117647058823536</v>
      </c>
      <c r="L36" s="374">
        <v>17</v>
      </c>
      <c r="M36" s="19">
        <f t="shared" si="28"/>
        <v>1521.7391304347827</v>
      </c>
      <c r="N36" s="18">
        <f t="shared" si="3"/>
        <v>89.514066496163693</v>
      </c>
      <c r="O36" s="20">
        <f t="shared" si="4"/>
        <v>0</v>
      </c>
      <c r="P36" s="21">
        <f t="shared" si="5"/>
        <v>-4.6035805626598432</v>
      </c>
      <c r="Q36" s="372">
        <f t="shared" si="6"/>
        <v>0.95108695652173914</v>
      </c>
      <c r="R36" s="573"/>
      <c r="S36" s="49">
        <v>0.3118055555555555</v>
      </c>
      <c r="T36" s="49">
        <v>0.40763888888888883</v>
      </c>
      <c r="U36" s="371">
        <f t="shared" si="30"/>
        <v>7.9999999999999716</v>
      </c>
      <c r="V36" s="375">
        <f t="shared" si="29"/>
        <v>138</v>
      </c>
      <c r="W36" s="371"/>
      <c r="X36" s="371"/>
      <c r="Y36" s="371"/>
      <c r="Z36" s="371"/>
      <c r="AA36" s="575"/>
      <c r="AB36" s="575"/>
      <c r="AC36" s="50"/>
      <c r="AD36" s="27"/>
      <c r="AE36" s="20">
        <f t="shared" si="8"/>
        <v>-78.260869565217263</v>
      </c>
      <c r="AF36" s="372">
        <f t="shared" si="9"/>
        <v>0.95108695652173925</v>
      </c>
      <c r="AG36" s="573"/>
    </row>
    <row r="37" spans="1:33">
      <c r="A37" s="593" t="s">
        <v>2262</v>
      </c>
      <c r="B37" s="39" t="s">
        <v>94</v>
      </c>
      <c r="C37" s="574" t="s">
        <v>101</v>
      </c>
      <c r="D37" s="574"/>
      <c r="E37" s="39">
        <v>25.98</v>
      </c>
      <c r="F37" s="377">
        <v>2512</v>
      </c>
      <c r="G37" s="371">
        <f t="shared" si="27"/>
        <v>65261.760000000002</v>
      </c>
      <c r="H37" s="48" t="s">
        <v>126</v>
      </c>
      <c r="I37" s="374">
        <v>19</v>
      </c>
      <c r="J37" s="43">
        <v>2400</v>
      </c>
      <c r="K37" s="18">
        <f t="shared" si="1"/>
        <v>126.31578947368421</v>
      </c>
      <c r="L37" s="374">
        <v>19</v>
      </c>
      <c r="M37" s="19">
        <f t="shared" si="28"/>
        <v>2283.636363636364</v>
      </c>
      <c r="N37" s="18">
        <f t="shared" si="3"/>
        <v>120.19138755980863</v>
      </c>
      <c r="O37" s="20">
        <f t="shared" si="4"/>
        <v>0</v>
      </c>
      <c r="P37" s="21">
        <f t="shared" si="5"/>
        <v>-6.1244019138755732</v>
      </c>
      <c r="Q37" s="372">
        <f t="shared" si="6"/>
        <v>0.95151515151515176</v>
      </c>
      <c r="R37" s="573"/>
      <c r="S37" s="49">
        <v>0.41249999999999992</v>
      </c>
      <c r="T37" s="49">
        <v>0.45833333333333326</v>
      </c>
      <c r="U37" s="371">
        <f t="shared" si="30"/>
        <v>6.9999999999999751</v>
      </c>
      <c r="V37" s="375">
        <f t="shared" si="29"/>
        <v>66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8"/>
        <v>-116.36363636363603</v>
      </c>
      <c r="AF37" s="372">
        <f t="shared" si="9"/>
        <v>0.95151515151515165</v>
      </c>
      <c r="AG37" s="573"/>
    </row>
    <row r="38" spans="1:33">
      <c r="A38" s="593" t="s">
        <v>2263</v>
      </c>
      <c r="B38" s="39" t="s">
        <v>94</v>
      </c>
      <c r="C38" s="574" t="s">
        <v>103</v>
      </c>
      <c r="D38" s="574"/>
      <c r="E38" s="39">
        <v>20.2</v>
      </c>
      <c r="F38" s="377">
        <v>1567</v>
      </c>
      <c r="G38" s="371">
        <f t="shared" si="27"/>
        <v>31653.399999999998</v>
      </c>
      <c r="H38" s="48" t="s">
        <v>126</v>
      </c>
      <c r="I38" s="374">
        <v>15</v>
      </c>
      <c r="J38" s="43">
        <v>2400</v>
      </c>
      <c r="K38" s="18">
        <f t="shared" si="1"/>
        <v>160</v>
      </c>
      <c r="L38" s="374">
        <v>15</v>
      </c>
      <c r="M38" s="19">
        <f t="shared" si="28"/>
        <v>2293.170731707316</v>
      </c>
      <c r="N38" s="18">
        <f t="shared" si="3"/>
        <v>152.87804878048775</v>
      </c>
      <c r="O38" s="20">
        <f t="shared" si="4"/>
        <v>0</v>
      </c>
      <c r="P38" s="21">
        <f t="shared" si="5"/>
        <v>-7.1219512195122547</v>
      </c>
      <c r="Q38" s="372">
        <f t="shared" si="6"/>
        <v>0.95548780487804841</v>
      </c>
      <c r="R38" s="573"/>
      <c r="S38" s="49">
        <v>0.4638888888888888</v>
      </c>
      <c r="T38" s="49">
        <v>0.49236111111111103</v>
      </c>
      <c r="U38" s="371">
        <f t="shared" si="30"/>
        <v>7.9999999999999716</v>
      </c>
      <c r="V38" s="375">
        <f t="shared" si="29"/>
        <v>41.000000000000014</v>
      </c>
      <c r="W38" s="25">
        <f>T38</f>
        <v>0.49236111111111103</v>
      </c>
      <c r="X38" s="25">
        <f>S39</f>
        <v>0.53333333333333321</v>
      </c>
      <c r="Y38" s="25"/>
      <c r="Z38" s="25"/>
      <c r="AA38" s="575"/>
      <c r="AB38" s="575"/>
      <c r="AC38" s="50"/>
      <c r="AD38" s="27"/>
      <c r="AE38" s="20">
        <f t="shared" si="8"/>
        <v>-106.82926829268399</v>
      </c>
      <c r="AF38" s="372">
        <f t="shared" si="9"/>
        <v>0.9554878048780483</v>
      </c>
      <c r="AG38" s="573"/>
    </row>
    <row r="39" spans="1:33">
      <c r="A39" s="593" t="s">
        <v>2262</v>
      </c>
      <c r="B39" s="39" t="s">
        <v>94</v>
      </c>
      <c r="C39" s="574" t="s">
        <v>102</v>
      </c>
      <c r="D39" s="574"/>
      <c r="E39" s="39">
        <v>34.1</v>
      </c>
      <c r="F39" s="377">
        <v>2307</v>
      </c>
      <c r="G39" s="371">
        <f t="shared" si="27"/>
        <v>78668.7</v>
      </c>
      <c r="H39" s="48" t="s">
        <v>126</v>
      </c>
      <c r="I39" s="374">
        <v>17</v>
      </c>
      <c r="J39" s="43">
        <v>1600</v>
      </c>
      <c r="K39" s="18">
        <f t="shared" si="1"/>
        <v>94.117647058823536</v>
      </c>
      <c r="L39" s="374">
        <v>17</v>
      </c>
      <c r="M39" s="19">
        <f t="shared" si="28"/>
        <v>1538</v>
      </c>
      <c r="N39" s="18">
        <f t="shared" si="3"/>
        <v>90.470588235294116</v>
      </c>
      <c r="O39" s="20">
        <f t="shared" si="4"/>
        <v>0</v>
      </c>
      <c r="P39" s="21">
        <f t="shared" si="5"/>
        <v>-3.6470588235294201</v>
      </c>
      <c r="Q39" s="372">
        <f t="shared" si="6"/>
        <v>0.96124999999999994</v>
      </c>
      <c r="R39" s="573"/>
      <c r="S39" s="49">
        <v>0.53333333333333321</v>
      </c>
      <c r="T39" s="49">
        <v>0.59583333333333321</v>
      </c>
      <c r="U39" s="371">
        <f t="shared" si="30"/>
        <v>58.99999999999995</v>
      </c>
      <c r="V39" s="375">
        <f t="shared" si="29"/>
        <v>90</v>
      </c>
      <c r="W39" s="25"/>
      <c r="X39" s="25"/>
      <c r="Y39" s="25"/>
      <c r="Z39" s="25"/>
      <c r="AA39" s="575"/>
      <c r="AB39" s="575"/>
      <c r="AC39" s="50"/>
      <c r="AD39" s="27"/>
      <c r="AE39" s="20">
        <f t="shared" si="8"/>
        <v>-62</v>
      </c>
      <c r="AF39" s="372">
        <f t="shared" si="9"/>
        <v>0.96125000000000005</v>
      </c>
      <c r="AG39" s="573"/>
    </row>
    <row r="40" spans="1:33">
      <c r="A40" s="593" t="s">
        <v>2264</v>
      </c>
      <c r="B40" s="42" t="s">
        <v>2245</v>
      </c>
      <c r="C40" s="576"/>
      <c r="D40" s="576"/>
      <c r="E40" s="373"/>
      <c r="F40" s="42"/>
      <c r="G40" s="18"/>
      <c r="H40" s="377"/>
      <c r="I40" s="32">
        <v>17</v>
      </c>
      <c r="J40" s="43">
        <v>2133.3333333333335</v>
      </c>
      <c r="K40" s="18">
        <f t="shared" si="1"/>
        <v>125.49019607843138</v>
      </c>
      <c r="L40" s="32">
        <v>17</v>
      </c>
      <c r="M40" s="19">
        <f>AVERAGE(M34:M39)</f>
        <v>2036.5600254531837</v>
      </c>
      <c r="N40" s="18">
        <f t="shared" si="3"/>
        <v>119.79764855606963</v>
      </c>
      <c r="O40" s="20">
        <f t="shared" si="4"/>
        <v>0</v>
      </c>
      <c r="P40" s="21">
        <f t="shared" si="5"/>
        <v>-5.6925475223617497</v>
      </c>
      <c r="Q40" s="372">
        <f t="shared" si="6"/>
        <v>0.95463751193117985</v>
      </c>
      <c r="R40" s="573"/>
      <c r="S40" s="49"/>
      <c r="T40" s="49"/>
      <c r="U40" s="18"/>
      <c r="V40" s="375"/>
      <c r="W40" s="18"/>
      <c r="X40" s="18"/>
      <c r="Y40" s="33">
        <f>SUM(Y34:Y39)</f>
        <v>0</v>
      </c>
      <c r="Z40" s="33">
        <f>SUM(Z34:Z39)</f>
        <v>0</v>
      </c>
      <c r="AA40" s="572"/>
      <c r="AB40" s="572"/>
      <c r="AC40" s="33">
        <v>6</v>
      </c>
      <c r="AD40" s="33">
        <f>SUM(AD34:AD39)</f>
        <v>0</v>
      </c>
      <c r="AE40" s="20">
        <f t="shared" si="8"/>
        <v>-96.773307880149787</v>
      </c>
      <c r="AF40" s="372">
        <f t="shared" si="9"/>
        <v>0.95463751193117974</v>
      </c>
      <c r="AG40" s="573"/>
    </row>
    <row r="41" spans="1:33" ht="15.75" customHeight="1">
      <c r="A41" s="589" t="s">
        <v>2265</v>
      </c>
      <c r="B41" s="39" t="s">
        <v>104</v>
      </c>
      <c r="C41" s="566" t="s">
        <v>105</v>
      </c>
      <c r="D41" s="567"/>
      <c r="E41" s="39">
        <v>37.880000000000003</v>
      </c>
      <c r="F41" s="377">
        <v>1419</v>
      </c>
      <c r="G41" s="371">
        <f t="shared" ref="G41:G44" si="31">E41*F41</f>
        <v>53751.72</v>
      </c>
      <c r="H41" s="48" t="s">
        <v>126</v>
      </c>
      <c r="I41" s="374">
        <v>13</v>
      </c>
      <c r="J41" s="43">
        <v>2000</v>
      </c>
      <c r="K41" s="18">
        <f t="shared" si="1"/>
        <v>153.84615384615384</v>
      </c>
      <c r="L41" s="374">
        <v>13</v>
      </c>
      <c r="M41" s="19">
        <f t="shared" ref="M41:M44" si="32">F41/V41*60</f>
        <v>1935</v>
      </c>
      <c r="N41" s="19">
        <f t="shared" si="3"/>
        <v>148.84615384615384</v>
      </c>
      <c r="O41" s="20">
        <f t="shared" si="4"/>
        <v>0</v>
      </c>
      <c r="P41" s="21">
        <f t="shared" si="5"/>
        <v>-5</v>
      </c>
      <c r="Q41" s="372">
        <f t="shared" si="6"/>
        <v>0.96750000000000003</v>
      </c>
      <c r="R41" s="584">
        <f>Q45</f>
        <v>0.95627771597831079</v>
      </c>
      <c r="S41" s="49">
        <v>8.3333333333333329E-2</v>
      </c>
      <c r="T41" s="49">
        <v>0.11388888888888889</v>
      </c>
      <c r="U41" s="30"/>
      <c r="V41" s="375">
        <f t="shared" ref="V41:V44" si="33">(T41-S41)*24*60</f>
        <v>44</v>
      </c>
      <c r="W41" s="25">
        <f>T41</f>
        <v>0.11388888888888889</v>
      </c>
      <c r="X41" s="25">
        <f>S42</f>
        <v>0.13263888888888889</v>
      </c>
      <c r="Y41" s="28"/>
      <c r="Z41" s="28"/>
      <c r="AA41" s="568"/>
      <c r="AB41" s="569"/>
      <c r="AC41" s="50">
        <v>4</v>
      </c>
      <c r="AD41" s="27"/>
      <c r="AE41" s="20">
        <f t="shared" si="8"/>
        <v>-65</v>
      </c>
      <c r="AF41" s="372">
        <f t="shared" si="9"/>
        <v>0.96750000000000003</v>
      </c>
      <c r="AG41" s="584">
        <f>AF45</f>
        <v>0.9562777159783109</v>
      </c>
    </row>
    <row r="42" spans="1:33" ht="15.75" customHeight="1">
      <c r="A42" s="590" t="s">
        <v>2266</v>
      </c>
      <c r="B42" s="39" t="s">
        <v>104</v>
      </c>
      <c r="C42" s="566" t="s">
        <v>106</v>
      </c>
      <c r="D42" s="567"/>
      <c r="E42" s="39">
        <v>35.119999999999997</v>
      </c>
      <c r="F42" s="377">
        <v>4239</v>
      </c>
      <c r="G42" s="371">
        <f t="shared" si="31"/>
        <v>148873.68</v>
      </c>
      <c r="H42" s="48" t="s">
        <v>126</v>
      </c>
      <c r="I42" s="374">
        <v>10</v>
      </c>
      <c r="J42" s="43">
        <v>3000</v>
      </c>
      <c r="K42" s="18">
        <f t="shared" si="1"/>
        <v>300</v>
      </c>
      <c r="L42" s="374">
        <v>10</v>
      </c>
      <c r="M42" s="19">
        <f t="shared" si="32"/>
        <v>2857.7528089887642</v>
      </c>
      <c r="N42" s="19">
        <f t="shared" si="3"/>
        <v>285.77528089887642</v>
      </c>
      <c r="O42" s="20">
        <f t="shared" si="4"/>
        <v>0</v>
      </c>
      <c r="P42" s="21">
        <f t="shared" si="5"/>
        <v>-14.224719101123583</v>
      </c>
      <c r="Q42" s="372">
        <f t="shared" si="6"/>
        <v>0.95258426966292142</v>
      </c>
      <c r="R42" s="585"/>
      <c r="S42" s="49">
        <v>0.13263888888888889</v>
      </c>
      <c r="T42" s="49">
        <v>0.19444444444444445</v>
      </c>
      <c r="U42" s="371">
        <f t="shared" ref="U42:U44" si="34">(S42-T41)*24*60</f>
        <v>27.000000000000004</v>
      </c>
      <c r="V42" s="375">
        <f t="shared" si="33"/>
        <v>89</v>
      </c>
      <c r="W42" s="25"/>
      <c r="X42" s="25"/>
      <c r="Y42" s="28"/>
      <c r="Z42" s="28"/>
      <c r="AA42" s="568"/>
      <c r="AB42" s="569"/>
      <c r="AC42" s="50"/>
      <c r="AD42" s="27"/>
      <c r="AE42" s="20">
        <f t="shared" si="8"/>
        <v>-142.24719101123583</v>
      </c>
      <c r="AF42" s="372">
        <f t="shared" si="9"/>
        <v>0.95258426966292142</v>
      </c>
      <c r="AG42" s="585"/>
    </row>
    <row r="43" spans="1:33" ht="15.75" customHeight="1">
      <c r="A43" s="590" t="s">
        <v>2266</v>
      </c>
      <c r="B43" s="39" t="s">
        <v>104</v>
      </c>
      <c r="C43" s="566" t="s">
        <v>107</v>
      </c>
      <c r="D43" s="567"/>
      <c r="E43" s="39">
        <v>21.13</v>
      </c>
      <c r="F43" s="377">
        <v>4056</v>
      </c>
      <c r="G43" s="371">
        <f t="shared" si="31"/>
        <v>85703.28</v>
      </c>
      <c r="H43" s="48" t="s">
        <v>126</v>
      </c>
      <c r="I43" s="374">
        <v>10</v>
      </c>
      <c r="J43" s="43">
        <v>3000</v>
      </c>
      <c r="K43" s="18">
        <f t="shared" si="1"/>
        <v>300</v>
      </c>
      <c r="L43" s="374">
        <v>10</v>
      </c>
      <c r="M43" s="19">
        <f t="shared" si="32"/>
        <v>2863.0588235294126</v>
      </c>
      <c r="N43" s="19">
        <f t="shared" si="3"/>
        <v>286.30588235294124</v>
      </c>
      <c r="O43" s="20">
        <f t="shared" si="4"/>
        <v>0</v>
      </c>
      <c r="P43" s="21">
        <f t="shared" si="5"/>
        <v>-13.694117647058761</v>
      </c>
      <c r="Q43" s="372">
        <f t="shared" si="6"/>
        <v>0.95435294117647085</v>
      </c>
      <c r="R43" s="585"/>
      <c r="S43" s="49">
        <v>0.19791666666666666</v>
      </c>
      <c r="T43" s="49">
        <v>0.25694444444444442</v>
      </c>
      <c r="U43" s="371">
        <f t="shared" si="34"/>
        <v>4.9999999999999822</v>
      </c>
      <c r="V43" s="375">
        <f t="shared" si="33"/>
        <v>84.999999999999972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-136.94117647058738</v>
      </c>
      <c r="AF43" s="372">
        <f t="shared" si="9"/>
        <v>0.95435294117647085</v>
      </c>
      <c r="AG43" s="585"/>
    </row>
    <row r="44" spans="1:33" ht="15.75" customHeight="1">
      <c r="A44" s="590" t="s">
        <v>2265</v>
      </c>
      <c r="B44" s="39" t="s">
        <v>104</v>
      </c>
      <c r="C44" s="566" t="s">
        <v>108</v>
      </c>
      <c r="D44" s="567"/>
      <c r="E44" s="39">
        <v>27.17</v>
      </c>
      <c r="F44" s="377">
        <v>5297</v>
      </c>
      <c r="G44" s="371">
        <f t="shared" si="31"/>
        <v>143919.49000000002</v>
      </c>
      <c r="H44" s="48" t="s">
        <v>126</v>
      </c>
      <c r="I44" s="374">
        <v>10</v>
      </c>
      <c r="J44" s="43">
        <v>3000</v>
      </c>
      <c r="K44" s="18">
        <f t="shared" si="1"/>
        <v>300</v>
      </c>
      <c r="L44" s="374">
        <v>10</v>
      </c>
      <c r="M44" s="19">
        <f t="shared" si="32"/>
        <v>2863.2432432432433</v>
      </c>
      <c r="N44" s="19">
        <f t="shared" si="3"/>
        <v>286.32432432432432</v>
      </c>
      <c r="O44" s="20">
        <f t="shared" si="4"/>
        <v>0</v>
      </c>
      <c r="P44" s="21">
        <f t="shared" si="5"/>
        <v>-13.675675675675677</v>
      </c>
      <c r="Q44" s="372">
        <f t="shared" si="6"/>
        <v>0.95441441441441444</v>
      </c>
      <c r="R44" s="585"/>
      <c r="S44" s="49">
        <v>0.26249999999999996</v>
      </c>
      <c r="T44" s="49">
        <v>0.33958333333333329</v>
      </c>
      <c r="U44" s="371">
        <f t="shared" si="34"/>
        <v>7.9999999999999716</v>
      </c>
      <c r="V44" s="375">
        <f t="shared" si="33"/>
        <v>111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-136.75675675675666</v>
      </c>
      <c r="AF44" s="372">
        <f t="shared" si="9"/>
        <v>0.95441441441441444</v>
      </c>
      <c r="AG44" s="585"/>
    </row>
    <row r="45" spans="1:33" ht="15.75" customHeight="1">
      <c r="A45" s="591" t="s">
        <v>2265</v>
      </c>
      <c r="B45" s="39" t="s">
        <v>2254</v>
      </c>
      <c r="C45" s="570"/>
      <c r="D45" s="571"/>
      <c r="E45" s="369"/>
      <c r="F45" s="377"/>
      <c r="G45" s="371"/>
      <c r="H45" s="377"/>
      <c r="I45" s="32">
        <v>10.75</v>
      </c>
      <c r="J45" s="43">
        <v>2750</v>
      </c>
      <c r="K45" s="18">
        <f t="shared" si="1"/>
        <v>255.81395348837211</v>
      </c>
      <c r="L45" s="32">
        <v>10.75</v>
      </c>
      <c r="M45" s="19">
        <f>AVERAGE(M41:M44)</f>
        <v>2629.7637189403549</v>
      </c>
      <c r="N45" s="18">
        <f t="shared" si="3"/>
        <v>244.62918315724232</v>
      </c>
      <c r="O45" s="20">
        <f t="shared" si="4"/>
        <v>0</v>
      </c>
      <c r="P45" s="21">
        <f t="shared" si="5"/>
        <v>-11.184770331129783</v>
      </c>
      <c r="Q45" s="372">
        <f t="shared" si="6"/>
        <v>0.95627771597831079</v>
      </c>
      <c r="R45" s="586"/>
      <c r="S45" s="49"/>
      <c r="T45" s="49"/>
      <c r="U45" s="371"/>
      <c r="V45" s="375"/>
      <c r="W45" s="25"/>
      <c r="X45" s="25"/>
      <c r="Y45" s="33">
        <f>SUM(Y41:Y44)</f>
        <v>0</v>
      </c>
      <c r="Z45" s="33">
        <f>SUM(Z41:Z44)</f>
        <v>0</v>
      </c>
      <c r="AA45" s="587"/>
      <c r="AB45" s="588"/>
      <c r="AC45" s="33">
        <v>4</v>
      </c>
      <c r="AD45" s="33">
        <f>SUM(AD41:AD44)</f>
        <v>0</v>
      </c>
      <c r="AE45" s="20">
        <f t="shared" si="8"/>
        <v>-120.23628105964508</v>
      </c>
      <c r="AF45" s="372">
        <f t="shared" si="9"/>
        <v>0.9562777159783109</v>
      </c>
      <c r="AG45" s="586"/>
    </row>
    <row r="46" spans="1:33" ht="15.75" customHeight="1">
      <c r="A46" s="582" t="s">
        <v>2267</v>
      </c>
      <c r="B46" s="39" t="s">
        <v>79</v>
      </c>
      <c r="C46" s="574" t="s">
        <v>109</v>
      </c>
      <c r="D46" s="574"/>
      <c r="E46" s="39">
        <v>46</v>
      </c>
      <c r="F46" s="45">
        <v>1971</v>
      </c>
      <c r="G46" s="371">
        <f t="shared" ref="G46:G52" si="35">E46*F46</f>
        <v>90666</v>
      </c>
      <c r="H46" s="48" t="s">
        <v>126</v>
      </c>
      <c r="I46" s="374">
        <v>16</v>
      </c>
      <c r="J46" s="43">
        <v>2000</v>
      </c>
      <c r="K46" s="18">
        <f t="shared" si="1"/>
        <v>125</v>
      </c>
      <c r="L46" s="374">
        <v>16</v>
      </c>
      <c r="M46" s="19">
        <f t="shared" ref="M46" si="36">F46/V46*60</f>
        <v>1907.4193548387102</v>
      </c>
      <c r="N46" s="19">
        <f t="shared" si="3"/>
        <v>119.21370967741939</v>
      </c>
      <c r="O46" s="20">
        <f t="shared" si="4"/>
        <v>0</v>
      </c>
      <c r="P46" s="21">
        <f t="shared" si="5"/>
        <v>-5.7862903225806122</v>
      </c>
      <c r="Q46" s="372">
        <f t="shared" si="6"/>
        <v>0.95370967741935508</v>
      </c>
      <c r="R46" s="573">
        <f>Q53</f>
        <v>0.9601540553794975</v>
      </c>
      <c r="S46" s="49">
        <v>0.20833333333333334</v>
      </c>
      <c r="T46" s="49">
        <v>0.25138888888888888</v>
      </c>
      <c r="U46" s="30"/>
      <c r="V46" s="375">
        <f t="shared" ref="V46:V52" si="37">(T46-S46)*24*60</f>
        <v>61.999999999999979</v>
      </c>
      <c r="W46" s="30"/>
      <c r="X46" s="30"/>
      <c r="Y46" s="30"/>
      <c r="Z46" s="30"/>
      <c r="AA46" s="575"/>
      <c r="AB46" s="575"/>
      <c r="AC46" s="50">
        <v>7</v>
      </c>
      <c r="AD46" s="27"/>
      <c r="AE46" s="20">
        <f t="shared" si="8"/>
        <v>-92.580645161289794</v>
      </c>
      <c r="AF46" s="372">
        <f t="shared" si="9"/>
        <v>0.95370967741935508</v>
      </c>
      <c r="AG46" s="573">
        <f>AF53</f>
        <v>0.9601540553794975</v>
      </c>
    </row>
    <row r="47" spans="1:33" ht="15.75" customHeight="1">
      <c r="A47" s="582" t="s">
        <v>2268</v>
      </c>
      <c r="B47" s="39" t="s">
        <v>79</v>
      </c>
      <c r="C47" s="574" t="s">
        <v>1233</v>
      </c>
      <c r="D47" s="574"/>
      <c r="E47" s="39">
        <v>46</v>
      </c>
      <c r="F47" s="45">
        <v>3811</v>
      </c>
      <c r="G47" s="371">
        <f t="shared" si="35"/>
        <v>175306</v>
      </c>
      <c r="H47" s="48" t="s">
        <v>126</v>
      </c>
      <c r="I47" s="374">
        <v>16</v>
      </c>
      <c r="J47" s="43">
        <v>2000</v>
      </c>
      <c r="K47" s="18">
        <f t="shared" si="1"/>
        <v>125</v>
      </c>
      <c r="L47" s="374">
        <v>16</v>
      </c>
      <c r="M47" s="19">
        <f>F47/V47*60</f>
        <v>1905.5000000000005</v>
      </c>
      <c r="N47" s="19">
        <f t="shared" si="3"/>
        <v>119.09375000000003</v>
      </c>
      <c r="O47" s="20">
        <f t="shared" si="4"/>
        <v>0</v>
      </c>
      <c r="P47" s="21">
        <f t="shared" si="5"/>
        <v>-5.9062499999999716</v>
      </c>
      <c r="Q47" s="372">
        <f t="shared" si="6"/>
        <v>0.95275000000000021</v>
      </c>
      <c r="R47" s="573"/>
      <c r="S47" s="49">
        <v>0.25624999999999998</v>
      </c>
      <c r="T47" s="49">
        <v>0.33958333333333329</v>
      </c>
      <c r="U47" s="371">
        <f t="shared" ref="U47:U52" si="38">IF(S47=TIME(17,0,0),"",(S47-T46)*24*60)</f>
        <v>6.9999999999999751</v>
      </c>
      <c r="V47" s="375">
        <f t="shared" si="37"/>
        <v>119.99999999999997</v>
      </c>
      <c r="W47" s="25"/>
      <c r="X47" s="25"/>
      <c r="Y47" s="25"/>
      <c r="Z47" s="25"/>
      <c r="AA47" s="575"/>
      <c r="AB47" s="575"/>
      <c r="AC47" s="50"/>
      <c r="AD47" s="27"/>
      <c r="AE47" s="20">
        <f t="shared" si="8"/>
        <v>-94.499999999999545</v>
      </c>
      <c r="AF47" s="372">
        <f t="shared" si="9"/>
        <v>0.95275000000000021</v>
      </c>
      <c r="AG47" s="573"/>
    </row>
    <row r="48" spans="1:33" ht="15.75" customHeight="1">
      <c r="A48" s="582" t="s">
        <v>2267</v>
      </c>
      <c r="B48" s="39" t="s">
        <v>74</v>
      </c>
      <c r="C48" s="566" t="s">
        <v>111</v>
      </c>
      <c r="D48" s="567"/>
      <c r="E48" s="39">
        <v>51.75</v>
      </c>
      <c r="F48" s="45">
        <v>611</v>
      </c>
      <c r="G48" s="371">
        <f t="shared" si="35"/>
        <v>31619.25</v>
      </c>
      <c r="H48" s="48" t="s">
        <v>126</v>
      </c>
      <c r="I48" s="374">
        <v>25</v>
      </c>
      <c r="J48" s="43">
        <v>2000</v>
      </c>
      <c r="K48" s="18">
        <f t="shared" si="1"/>
        <v>80</v>
      </c>
      <c r="L48" s="374">
        <v>25</v>
      </c>
      <c r="M48" s="19">
        <f t="shared" ref="M48:M52" si="39">F48/V48*60</f>
        <v>1929.4736842105249</v>
      </c>
      <c r="N48" s="19">
        <f t="shared" si="3"/>
        <v>77.178947368420992</v>
      </c>
      <c r="O48" s="20">
        <f t="shared" si="4"/>
        <v>0</v>
      </c>
      <c r="P48" s="21">
        <f t="shared" si="5"/>
        <v>-2.8210526315790077</v>
      </c>
      <c r="Q48" s="372">
        <f t="shared" si="6"/>
        <v>0.96473684210526245</v>
      </c>
      <c r="R48" s="573"/>
      <c r="S48" s="49">
        <v>0.34513888888888883</v>
      </c>
      <c r="T48" s="49">
        <v>0.35833333333333328</v>
      </c>
      <c r="U48" s="371">
        <f t="shared" si="38"/>
        <v>7.9999999999999716</v>
      </c>
      <c r="V48" s="375">
        <f t="shared" si="37"/>
        <v>19.000000000000014</v>
      </c>
      <c r="W48" s="25"/>
      <c r="X48" s="25"/>
      <c r="Y48" s="28"/>
      <c r="Z48" s="28"/>
      <c r="AA48" s="575"/>
      <c r="AB48" s="575"/>
      <c r="AC48" s="50"/>
      <c r="AD48" s="27"/>
      <c r="AE48" s="20">
        <f t="shared" si="8"/>
        <v>-70.52631578947512</v>
      </c>
      <c r="AF48" s="372">
        <f t="shared" si="9"/>
        <v>0.96473684210526245</v>
      </c>
      <c r="AG48" s="573"/>
    </row>
    <row r="49" spans="1:33" ht="15.75" customHeight="1">
      <c r="A49" s="582" t="s">
        <v>2269</v>
      </c>
      <c r="B49" s="39" t="s">
        <v>74</v>
      </c>
      <c r="C49" s="367" t="s">
        <v>110</v>
      </c>
      <c r="D49" s="368"/>
      <c r="E49" s="39">
        <v>56.43</v>
      </c>
      <c r="F49" s="45">
        <v>1136</v>
      </c>
      <c r="G49" s="371">
        <f t="shared" si="35"/>
        <v>64104.480000000003</v>
      </c>
      <c r="H49" s="48" t="s">
        <v>126</v>
      </c>
      <c r="I49" s="374">
        <v>22</v>
      </c>
      <c r="J49" s="43">
        <v>2000</v>
      </c>
      <c r="K49" s="18">
        <f t="shared" si="1"/>
        <v>90.909090909090907</v>
      </c>
      <c r="L49" s="374">
        <v>22</v>
      </c>
      <c r="M49" s="19">
        <f t="shared" si="39"/>
        <v>1947.4285714285697</v>
      </c>
      <c r="N49" s="19">
        <f t="shared" si="3"/>
        <v>88.519480519480439</v>
      </c>
      <c r="O49" s="20">
        <f t="shared" si="4"/>
        <v>0</v>
      </c>
      <c r="P49" s="21">
        <f t="shared" si="5"/>
        <v>-2.3896103896104677</v>
      </c>
      <c r="Q49" s="372">
        <f t="shared" si="6"/>
        <v>0.97371428571428487</v>
      </c>
      <c r="R49" s="573"/>
      <c r="S49" s="49">
        <v>0.36388888888888882</v>
      </c>
      <c r="T49" s="49">
        <v>0.3881944444444444</v>
      </c>
      <c r="U49" s="371">
        <f t="shared" si="38"/>
        <v>7.9999999999999716</v>
      </c>
      <c r="V49" s="375">
        <f t="shared" si="37"/>
        <v>35.000000000000036</v>
      </c>
      <c r="W49" s="25"/>
      <c r="X49" s="25"/>
      <c r="Y49" s="28"/>
      <c r="Z49" s="28"/>
      <c r="AA49" s="575"/>
      <c r="AB49" s="575"/>
      <c r="AC49" s="50"/>
      <c r="AD49" s="27"/>
      <c r="AE49" s="20">
        <f t="shared" si="8"/>
        <v>-52.57142857143026</v>
      </c>
      <c r="AF49" s="372">
        <f t="shared" si="9"/>
        <v>0.97371428571428487</v>
      </c>
      <c r="AG49" s="573"/>
    </row>
    <row r="50" spans="1:33" ht="15.75" customHeight="1">
      <c r="A50" s="582" t="s">
        <v>2267</v>
      </c>
      <c r="B50" s="39" t="s">
        <v>74</v>
      </c>
      <c r="C50" s="367" t="s">
        <v>88</v>
      </c>
      <c r="D50" s="368"/>
      <c r="E50" s="39">
        <v>59.04</v>
      </c>
      <c r="F50" s="45">
        <v>2893</v>
      </c>
      <c r="G50" s="371">
        <f t="shared" si="35"/>
        <v>170802.72</v>
      </c>
      <c r="H50" s="48" t="s">
        <v>126</v>
      </c>
      <c r="I50" s="374">
        <v>19</v>
      </c>
      <c r="J50" s="43">
        <v>2000</v>
      </c>
      <c r="K50" s="18">
        <f t="shared" si="1"/>
        <v>105.26315789473684</v>
      </c>
      <c r="L50" s="374">
        <v>19</v>
      </c>
      <c r="M50" s="19">
        <f t="shared" si="39"/>
        <v>1907.4725274725274</v>
      </c>
      <c r="N50" s="19">
        <f t="shared" si="3"/>
        <v>100.39329091960671</v>
      </c>
      <c r="O50" s="20">
        <f t="shared" si="4"/>
        <v>0</v>
      </c>
      <c r="P50" s="21">
        <f t="shared" si="5"/>
        <v>-4.8698669751301225</v>
      </c>
      <c r="Q50" s="372">
        <f t="shared" si="6"/>
        <v>0.95373626373626386</v>
      </c>
      <c r="R50" s="573"/>
      <c r="S50" s="49">
        <v>0.39305555555555549</v>
      </c>
      <c r="T50" s="49">
        <v>0.45624999999999993</v>
      </c>
      <c r="U50" s="371">
        <f t="shared" si="38"/>
        <v>6.9999999999999751</v>
      </c>
      <c r="V50" s="375">
        <f t="shared" si="37"/>
        <v>91</v>
      </c>
      <c r="W50" s="25"/>
      <c r="X50" s="25"/>
      <c r="Y50" s="28"/>
      <c r="Z50" s="28"/>
      <c r="AA50" s="575"/>
      <c r="AB50" s="575"/>
      <c r="AC50" s="50"/>
      <c r="AD50" s="27"/>
      <c r="AE50" s="20">
        <f t="shared" si="8"/>
        <v>-92.527472527472582</v>
      </c>
      <c r="AF50" s="372">
        <f t="shared" si="9"/>
        <v>0.95373626373626375</v>
      </c>
      <c r="AG50" s="573"/>
    </row>
    <row r="51" spans="1:33" ht="15.75" customHeight="1">
      <c r="A51" s="582" t="s">
        <v>2267</v>
      </c>
      <c r="B51" s="39" t="s">
        <v>74</v>
      </c>
      <c r="C51" s="566" t="s">
        <v>113</v>
      </c>
      <c r="D51" s="567"/>
      <c r="E51" s="39">
        <v>55.56</v>
      </c>
      <c r="F51" s="45">
        <v>1803</v>
      </c>
      <c r="G51" s="371">
        <f t="shared" si="35"/>
        <v>100174.68000000001</v>
      </c>
      <c r="H51" s="48" t="s">
        <v>126</v>
      </c>
      <c r="I51" s="374">
        <v>17</v>
      </c>
      <c r="J51" s="43">
        <v>2000</v>
      </c>
      <c r="K51" s="18">
        <f t="shared" si="1"/>
        <v>117.64705882352941</v>
      </c>
      <c r="L51" s="374">
        <v>17</v>
      </c>
      <c r="M51" s="19">
        <f t="shared" si="39"/>
        <v>1931.7857142857158</v>
      </c>
      <c r="N51" s="19">
        <f t="shared" si="3"/>
        <v>113.63445378151269</v>
      </c>
      <c r="O51" s="20">
        <f t="shared" si="4"/>
        <v>0</v>
      </c>
      <c r="P51" s="21">
        <f t="shared" si="5"/>
        <v>-4.0126050420167161</v>
      </c>
      <c r="Q51" s="372">
        <f t="shared" si="6"/>
        <v>0.96589285714285789</v>
      </c>
      <c r="R51" s="573"/>
      <c r="S51" s="49">
        <v>0.70833333333333337</v>
      </c>
      <c r="T51" s="49">
        <v>0.74722222222222223</v>
      </c>
      <c r="U51" s="371" t="str">
        <f t="shared" si="38"/>
        <v/>
      </c>
      <c r="V51" s="375">
        <f t="shared" si="37"/>
        <v>55.999999999999957</v>
      </c>
      <c r="W51" s="25"/>
      <c r="X51" s="25"/>
      <c r="Y51" s="28"/>
      <c r="Z51" s="28"/>
      <c r="AA51" s="568"/>
      <c r="AB51" s="569"/>
      <c r="AC51" s="50"/>
      <c r="AD51" s="27"/>
      <c r="AE51" s="20">
        <f t="shared" si="8"/>
        <v>-68.214285714284188</v>
      </c>
      <c r="AF51" s="372">
        <f t="shared" si="9"/>
        <v>0.96589285714285789</v>
      </c>
      <c r="AG51" s="573"/>
    </row>
    <row r="52" spans="1:33" ht="15.75" customHeight="1">
      <c r="A52" s="582" t="s">
        <v>2267</v>
      </c>
      <c r="B52" s="39" t="s">
        <v>74</v>
      </c>
      <c r="C52" s="566" t="s">
        <v>114</v>
      </c>
      <c r="D52" s="567"/>
      <c r="E52" s="39">
        <v>54.29</v>
      </c>
      <c r="F52" s="45">
        <v>829</v>
      </c>
      <c r="G52" s="371">
        <f t="shared" si="35"/>
        <v>45006.409999999996</v>
      </c>
      <c r="H52" s="48" t="s">
        <v>126</v>
      </c>
      <c r="I52" s="374">
        <v>20</v>
      </c>
      <c r="J52" s="43">
        <v>2000</v>
      </c>
      <c r="K52" s="18">
        <f t="shared" si="1"/>
        <v>100</v>
      </c>
      <c r="L52" s="374">
        <v>20</v>
      </c>
      <c r="M52" s="19">
        <f t="shared" si="39"/>
        <v>1913.0769230769181</v>
      </c>
      <c r="N52" s="19">
        <f t="shared" si="3"/>
        <v>95.653846153845905</v>
      </c>
      <c r="O52" s="20">
        <f t="shared" si="4"/>
        <v>0</v>
      </c>
      <c r="P52" s="21">
        <f t="shared" si="5"/>
        <v>-4.3461538461540954</v>
      </c>
      <c r="Q52" s="372">
        <f t="shared" si="6"/>
        <v>0.95653846153845901</v>
      </c>
      <c r="R52" s="573"/>
      <c r="S52" s="49">
        <v>0.75069444444444444</v>
      </c>
      <c r="T52" s="49">
        <v>0.76875000000000004</v>
      </c>
      <c r="U52" s="371">
        <f t="shared" si="38"/>
        <v>4.9999999999999822</v>
      </c>
      <c r="V52" s="375">
        <f t="shared" si="37"/>
        <v>26.000000000000068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-86.923076923081908</v>
      </c>
      <c r="AF52" s="372">
        <f t="shared" si="9"/>
        <v>0.95653846153845901</v>
      </c>
      <c r="AG52" s="573"/>
    </row>
    <row r="53" spans="1:33">
      <c r="A53" s="583" t="s">
        <v>2267</v>
      </c>
      <c r="B53" s="39" t="s">
        <v>2270</v>
      </c>
      <c r="C53" s="576"/>
      <c r="D53" s="576"/>
      <c r="E53" s="373"/>
      <c r="F53" s="42"/>
      <c r="G53" s="18"/>
      <c r="H53" s="377"/>
      <c r="I53" s="32">
        <v>19.285714285714285</v>
      </c>
      <c r="J53" s="43">
        <v>2000</v>
      </c>
      <c r="K53" s="18">
        <f t="shared" si="1"/>
        <v>103.70370370370371</v>
      </c>
      <c r="L53" s="32">
        <v>19.285714285714285</v>
      </c>
      <c r="M53" s="19">
        <f>AVERAGE(M46:M52)</f>
        <v>1920.3081107589951</v>
      </c>
      <c r="N53" s="18">
        <f t="shared" si="3"/>
        <v>99.571531668984932</v>
      </c>
      <c r="O53" s="20">
        <f t="shared" si="4"/>
        <v>0</v>
      </c>
      <c r="P53" s="21">
        <f t="shared" si="5"/>
        <v>-4.1321720347187778</v>
      </c>
      <c r="Q53" s="372">
        <f t="shared" si="6"/>
        <v>0.9601540553794975</v>
      </c>
      <c r="R53" s="573"/>
      <c r="S53" s="49"/>
      <c r="T53" s="49"/>
      <c r="U53" s="371"/>
      <c r="V53" s="375"/>
      <c r="W53" s="18"/>
      <c r="X53" s="18"/>
      <c r="Y53" s="33">
        <f>SUM(Y46:Y52)</f>
        <v>0</v>
      </c>
      <c r="Z53" s="33">
        <f>SUM(Z46:Z52)</f>
        <v>0</v>
      </c>
      <c r="AA53" s="572"/>
      <c r="AB53" s="572"/>
      <c r="AC53" s="33">
        <v>7</v>
      </c>
      <c r="AD53" s="33">
        <f>SUM(AD46:AD52)</f>
        <v>0</v>
      </c>
      <c r="AE53" s="20">
        <f>M53-J53</f>
        <v>-79.691889241004901</v>
      </c>
      <c r="AF53" s="372">
        <f t="shared" si="9"/>
        <v>0.9601540553794975</v>
      </c>
      <c r="AG53" s="573"/>
    </row>
    <row r="54" spans="1:33" ht="15.75" customHeight="1">
      <c r="A54" s="580" t="s">
        <v>2271</v>
      </c>
      <c r="B54" s="377" t="s">
        <v>104</v>
      </c>
      <c r="C54" s="574" t="s">
        <v>115</v>
      </c>
      <c r="D54" s="574"/>
      <c r="E54" s="39">
        <v>34.36</v>
      </c>
      <c r="F54" s="45">
        <v>1657</v>
      </c>
      <c r="G54" s="371">
        <f t="shared" ref="G54:G58" si="40">E54*F54</f>
        <v>56934.52</v>
      </c>
      <c r="H54" s="48" t="s">
        <v>126</v>
      </c>
      <c r="I54" s="374">
        <v>10</v>
      </c>
      <c r="J54" s="43">
        <v>3000</v>
      </c>
      <c r="K54" s="18">
        <f t="shared" si="1"/>
        <v>300</v>
      </c>
      <c r="L54" s="374">
        <v>10</v>
      </c>
      <c r="M54" s="19">
        <f t="shared" ref="M54:M58" si="41">F54/V54*60</f>
        <v>2924.1176470588234</v>
      </c>
      <c r="N54" s="18">
        <f t="shared" si="3"/>
        <v>292.41176470588232</v>
      </c>
      <c r="O54" s="20">
        <f t="shared" si="4"/>
        <v>0</v>
      </c>
      <c r="P54" s="21">
        <f t="shared" si="5"/>
        <v>-7.5882352941176805</v>
      </c>
      <c r="Q54" s="372">
        <f t="shared" si="6"/>
        <v>0.97470588235294109</v>
      </c>
      <c r="R54" s="573">
        <f>Q59</f>
        <v>0.95866730699439207</v>
      </c>
      <c r="S54" s="49">
        <v>0.20833333333333334</v>
      </c>
      <c r="T54" s="49">
        <v>0.23194444444444445</v>
      </c>
      <c r="U54" s="371"/>
      <c r="V54" s="375">
        <f t="shared" ref="V54:V58" si="42">(T54-S54)*24*60</f>
        <v>34</v>
      </c>
      <c r="W54" s="30"/>
      <c r="X54" s="30"/>
      <c r="Y54" s="30"/>
      <c r="Z54" s="30"/>
      <c r="AA54" s="575"/>
      <c r="AB54" s="575"/>
      <c r="AC54" s="50">
        <v>5</v>
      </c>
      <c r="AD54" s="27"/>
      <c r="AE54" s="20">
        <f t="shared" ref="AE54:AE66" si="43">M54-J54</f>
        <v>-75.882352941176578</v>
      </c>
      <c r="AF54" s="372">
        <f t="shared" si="9"/>
        <v>0.97470588235294109</v>
      </c>
      <c r="AG54" s="573">
        <f>AF59</f>
        <v>0.95866730699439207</v>
      </c>
    </row>
    <row r="55" spans="1:33" ht="15.75" customHeight="1">
      <c r="A55" s="580" t="s">
        <v>2272</v>
      </c>
      <c r="B55" s="377" t="s">
        <v>104</v>
      </c>
      <c r="C55" s="574" t="s">
        <v>116</v>
      </c>
      <c r="D55" s="574"/>
      <c r="E55" s="39">
        <v>34.36</v>
      </c>
      <c r="F55" s="45">
        <v>711</v>
      </c>
      <c r="G55" s="371">
        <f t="shared" si="40"/>
        <v>24429.96</v>
      </c>
      <c r="H55" s="48" t="s">
        <v>126</v>
      </c>
      <c r="I55" s="374">
        <v>10</v>
      </c>
      <c r="J55" s="43">
        <v>3000</v>
      </c>
      <c r="K55" s="18">
        <f t="shared" si="1"/>
        <v>300</v>
      </c>
      <c r="L55" s="374">
        <v>10</v>
      </c>
      <c r="M55" s="19">
        <f t="shared" si="41"/>
        <v>2844.0000000000027</v>
      </c>
      <c r="N55" s="18">
        <f t="shared" si="3"/>
        <v>284.40000000000026</v>
      </c>
      <c r="O55" s="20">
        <f t="shared" si="4"/>
        <v>0</v>
      </c>
      <c r="P55" s="21">
        <f t="shared" si="5"/>
        <v>-15.599999999999739</v>
      </c>
      <c r="Q55" s="372">
        <f t="shared" si="6"/>
        <v>0.94800000000000084</v>
      </c>
      <c r="R55" s="573"/>
      <c r="S55" s="49">
        <v>0.23680555555555557</v>
      </c>
      <c r="T55" s="49">
        <v>0.24722222222222223</v>
      </c>
      <c r="U55" s="371">
        <f t="shared" ref="U55:U58" si="44">(S55-T54)*24*60</f>
        <v>7.0000000000000151</v>
      </c>
      <c r="V55" s="375">
        <f t="shared" si="42"/>
        <v>14.999999999999986</v>
      </c>
      <c r="W55" s="371"/>
      <c r="X55" s="371"/>
      <c r="Y55" s="371"/>
      <c r="Z55" s="371"/>
      <c r="AA55" s="575"/>
      <c r="AB55" s="575"/>
      <c r="AC55" s="50"/>
      <c r="AD55" s="27"/>
      <c r="AE55" s="20">
        <f t="shared" si="43"/>
        <v>-155.99999999999727</v>
      </c>
      <c r="AF55" s="372">
        <f t="shared" si="9"/>
        <v>0.94800000000000095</v>
      </c>
      <c r="AG55" s="573"/>
    </row>
    <row r="56" spans="1:33" ht="15.75" customHeight="1">
      <c r="A56" s="580" t="s">
        <v>2271</v>
      </c>
      <c r="B56" s="377" t="s">
        <v>104</v>
      </c>
      <c r="C56" s="574" t="s">
        <v>117</v>
      </c>
      <c r="D56" s="574"/>
      <c r="E56" s="39">
        <v>26.78</v>
      </c>
      <c r="F56" s="45">
        <v>1862</v>
      </c>
      <c r="G56" s="371">
        <f t="shared" si="40"/>
        <v>49864.36</v>
      </c>
      <c r="H56" s="48" t="s">
        <v>126</v>
      </c>
      <c r="I56" s="374">
        <v>10</v>
      </c>
      <c r="J56" s="43">
        <v>3000</v>
      </c>
      <c r="K56" s="18">
        <f t="shared" si="1"/>
        <v>300</v>
      </c>
      <c r="L56" s="374">
        <v>10</v>
      </c>
      <c r="M56" s="19">
        <f t="shared" si="41"/>
        <v>2864.6153846153829</v>
      </c>
      <c r="N56" s="18">
        <f t="shared" si="3"/>
        <v>286.46153846153828</v>
      </c>
      <c r="O56" s="20">
        <f t="shared" si="4"/>
        <v>0</v>
      </c>
      <c r="P56" s="21">
        <f t="shared" si="5"/>
        <v>-13.538461538461718</v>
      </c>
      <c r="Q56" s="372">
        <f t="shared" si="6"/>
        <v>0.9548717948717943</v>
      </c>
      <c r="R56" s="573"/>
      <c r="S56" s="49">
        <v>0.25208333333333333</v>
      </c>
      <c r="T56" s="49">
        <v>0.27916666666666667</v>
      </c>
      <c r="U56" s="371">
        <f t="shared" si="44"/>
        <v>6.9999999999999751</v>
      </c>
      <c r="V56" s="375">
        <f t="shared" si="42"/>
        <v>39.000000000000021</v>
      </c>
      <c r="W56" s="371"/>
      <c r="X56" s="371"/>
      <c r="Y56" s="371"/>
      <c r="Z56" s="371"/>
      <c r="AA56" s="575"/>
      <c r="AB56" s="575"/>
      <c r="AC56" s="50"/>
      <c r="AD56" s="27"/>
      <c r="AE56" s="20">
        <f t="shared" si="43"/>
        <v>-135.38461538461706</v>
      </c>
      <c r="AF56" s="372">
        <f t="shared" si="9"/>
        <v>0.9548717948717943</v>
      </c>
      <c r="AG56" s="573"/>
    </row>
    <row r="57" spans="1:33" ht="15.75" customHeight="1">
      <c r="A57" s="580" t="s">
        <v>2273</v>
      </c>
      <c r="B57" s="377" t="s">
        <v>104</v>
      </c>
      <c r="C57" s="574" t="s">
        <v>119</v>
      </c>
      <c r="D57" s="574"/>
      <c r="E57" s="39">
        <v>35.869999999999997</v>
      </c>
      <c r="F57" s="45">
        <v>2919</v>
      </c>
      <c r="G57" s="371">
        <f t="shared" si="40"/>
        <v>104704.53</v>
      </c>
      <c r="H57" s="48" t="s">
        <v>126</v>
      </c>
      <c r="I57" s="374">
        <v>9</v>
      </c>
      <c r="J57" s="43">
        <v>3000</v>
      </c>
      <c r="K57" s="18">
        <f t="shared" si="1"/>
        <v>333.33333333333331</v>
      </c>
      <c r="L57" s="374">
        <v>9</v>
      </c>
      <c r="M57" s="19">
        <f t="shared" si="41"/>
        <v>2871.1475409836057</v>
      </c>
      <c r="N57" s="18">
        <f t="shared" si="3"/>
        <v>319.01639344262287</v>
      </c>
      <c r="O57" s="20">
        <f t="shared" si="4"/>
        <v>0</v>
      </c>
      <c r="P57" s="21">
        <f t="shared" si="5"/>
        <v>-14.316939890710444</v>
      </c>
      <c r="Q57" s="372">
        <f t="shared" si="6"/>
        <v>0.95704918032786868</v>
      </c>
      <c r="R57" s="573"/>
      <c r="S57" s="49">
        <v>0.28333333333333333</v>
      </c>
      <c r="T57" s="49">
        <v>0.32569444444444445</v>
      </c>
      <c r="U57" s="371">
        <f t="shared" si="44"/>
        <v>5.9999999999999787</v>
      </c>
      <c r="V57" s="375">
        <f t="shared" si="42"/>
        <v>61.000000000000021</v>
      </c>
      <c r="W57" s="371"/>
      <c r="X57" s="371"/>
      <c r="Y57" s="371"/>
      <c r="Z57" s="371"/>
      <c r="AA57" s="575"/>
      <c r="AB57" s="575"/>
      <c r="AC57" s="50"/>
      <c r="AD57" s="27"/>
      <c r="AE57" s="20">
        <f t="shared" si="43"/>
        <v>-128.85245901639428</v>
      </c>
      <c r="AF57" s="372">
        <f t="shared" si="9"/>
        <v>0.95704918032786856</v>
      </c>
      <c r="AG57" s="573"/>
    </row>
    <row r="58" spans="1:33">
      <c r="A58" s="581" t="s">
        <v>2272</v>
      </c>
      <c r="B58" s="377" t="s">
        <v>104</v>
      </c>
      <c r="C58" s="574" t="s">
        <v>120</v>
      </c>
      <c r="D58" s="574"/>
      <c r="E58" s="39">
        <v>34.35</v>
      </c>
      <c r="F58" s="45">
        <v>1486</v>
      </c>
      <c r="G58" s="371">
        <f t="shared" si="40"/>
        <v>51044.1</v>
      </c>
      <c r="H58" s="48" t="s">
        <v>126</v>
      </c>
      <c r="I58" s="374">
        <v>8</v>
      </c>
      <c r="J58" s="43">
        <v>3000</v>
      </c>
      <c r="K58" s="18">
        <f t="shared" si="1"/>
        <v>375</v>
      </c>
      <c r="L58" s="374">
        <v>8</v>
      </c>
      <c r="M58" s="19">
        <f t="shared" si="41"/>
        <v>2876.1290322580671</v>
      </c>
      <c r="N58" s="18">
        <f t="shared" si="3"/>
        <v>359.51612903225839</v>
      </c>
      <c r="O58" s="20">
        <f t="shared" si="4"/>
        <v>0</v>
      </c>
      <c r="P58" s="21">
        <f t="shared" si="5"/>
        <v>-15.483870967741609</v>
      </c>
      <c r="Q58" s="372">
        <f t="shared" si="6"/>
        <v>0.95870967741935575</v>
      </c>
      <c r="R58" s="573"/>
      <c r="S58" s="49">
        <v>0.33124999999999999</v>
      </c>
      <c r="T58" s="49">
        <v>0.35277777777777775</v>
      </c>
      <c r="U58" s="371">
        <f t="shared" si="44"/>
        <v>7.9999999999999716</v>
      </c>
      <c r="V58" s="375">
        <f t="shared" si="42"/>
        <v>30.999999999999972</v>
      </c>
      <c r="W58" s="25"/>
      <c r="X58" s="25"/>
      <c r="Y58" s="25"/>
      <c r="Z58" s="25"/>
      <c r="AA58" s="575"/>
      <c r="AB58" s="575"/>
      <c r="AC58" s="50"/>
      <c r="AD58" s="27"/>
      <c r="AE58" s="20">
        <f t="shared" si="43"/>
        <v>-123.87096774193287</v>
      </c>
      <c r="AF58" s="372">
        <f t="shared" si="9"/>
        <v>0.95870967741935575</v>
      </c>
      <c r="AG58" s="573"/>
    </row>
    <row r="59" spans="1:33">
      <c r="A59" s="581" t="s">
        <v>2271</v>
      </c>
      <c r="B59" s="39" t="s">
        <v>70</v>
      </c>
      <c r="C59" s="576"/>
      <c r="D59" s="576"/>
      <c r="E59" s="373"/>
      <c r="F59" s="42"/>
      <c r="G59" s="18"/>
      <c r="H59" s="377"/>
      <c r="I59" s="32">
        <v>9.4</v>
      </c>
      <c r="J59" s="43">
        <v>3000</v>
      </c>
      <c r="K59" s="18">
        <f t="shared" si="1"/>
        <v>319.14893617021278</v>
      </c>
      <c r="L59" s="32">
        <v>9.4</v>
      </c>
      <c r="M59" s="19">
        <f>AVERAGE(M54:M58)</f>
        <v>2876.0019209831762</v>
      </c>
      <c r="N59" s="18">
        <f t="shared" si="3"/>
        <v>305.95765116842301</v>
      </c>
      <c r="O59" s="20">
        <f t="shared" si="4"/>
        <v>0</v>
      </c>
      <c r="P59" s="21">
        <f t="shared" si="5"/>
        <v>-13.191285001789765</v>
      </c>
      <c r="Q59" s="372">
        <f t="shared" si="6"/>
        <v>0.95866730699439207</v>
      </c>
      <c r="R59" s="573"/>
      <c r="S59" s="49"/>
      <c r="T59" s="49"/>
      <c r="U59" s="18"/>
      <c r="V59" s="375"/>
      <c r="W59" s="18"/>
      <c r="X59" s="18"/>
      <c r="Y59" s="33">
        <f>SUM(Y54:Y58)</f>
        <v>0</v>
      </c>
      <c r="Z59" s="33">
        <f>SUM(Z54:Z58)</f>
        <v>0</v>
      </c>
      <c r="AA59" s="572"/>
      <c r="AB59" s="572"/>
      <c r="AC59" s="33">
        <v>5</v>
      </c>
      <c r="AD59" s="33">
        <f>SUM(AD54:AD58)</f>
        <v>0</v>
      </c>
      <c r="AE59" s="20">
        <f t="shared" si="43"/>
        <v>-123.99807901682379</v>
      </c>
      <c r="AF59" s="372">
        <f t="shared" si="9"/>
        <v>0.95866730699439207</v>
      </c>
      <c r="AG59" s="573"/>
    </row>
    <row r="60" spans="1:33" ht="15.75" customHeight="1">
      <c r="A60" s="577" t="s">
        <v>2274</v>
      </c>
      <c r="B60" s="377" t="s">
        <v>94</v>
      </c>
      <c r="C60" s="574" t="s">
        <v>124</v>
      </c>
      <c r="D60" s="574"/>
      <c r="E60" s="39">
        <v>22.69</v>
      </c>
      <c r="F60" s="377">
        <v>3432</v>
      </c>
      <c r="G60" s="371">
        <f t="shared" ref="G60:G65" si="45">E60*F60</f>
        <v>77872.08</v>
      </c>
      <c r="H60" s="48" t="s">
        <v>126</v>
      </c>
      <c r="I60" s="374">
        <v>15</v>
      </c>
      <c r="J60" s="43">
        <v>2400</v>
      </c>
      <c r="K60" s="18">
        <f t="shared" si="1"/>
        <v>160</v>
      </c>
      <c r="L60" s="374">
        <v>15</v>
      </c>
      <c r="M60" s="19">
        <f t="shared" ref="M60:M65" si="46">F60/V60*60</f>
        <v>2288.0000000000009</v>
      </c>
      <c r="N60" s="18">
        <f t="shared" si="3"/>
        <v>152.53333333333339</v>
      </c>
      <c r="O60" s="20">
        <f t="shared" si="4"/>
        <v>0</v>
      </c>
      <c r="P60" s="21">
        <f t="shared" si="5"/>
        <v>-7.4666666666666117</v>
      </c>
      <c r="Q60" s="372">
        <f t="shared" si="6"/>
        <v>0.9533333333333337</v>
      </c>
      <c r="R60" s="573">
        <f>Q66</f>
        <v>0.95542696208456379</v>
      </c>
      <c r="S60" s="49">
        <v>8.3333333333333329E-2</v>
      </c>
      <c r="T60" s="49">
        <v>0.14583333333333331</v>
      </c>
      <c r="U60" s="30"/>
      <c r="V60" s="375">
        <f t="shared" ref="V60:V65" si="47">(T60-S60)*24*60</f>
        <v>89.999999999999972</v>
      </c>
      <c r="W60" s="25">
        <f>T60</f>
        <v>0.14583333333333331</v>
      </c>
      <c r="X60" s="25">
        <f>S61</f>
        <v>0.16666666666666666</v>
      </c>
      <c r="Y60" s="25"/>
      <c r="Z60" s="25"/>
      <c r="AA60" s="575"/>
      <c r="AB60" s="575"/>
      <c r="AC60" s="50">
        <v>6</v>
      </c>
      <c r="AD60" s="27"/>
      <c r="AE60" s="20">
        <f t="shared" si="43"/>
        <v>-111.99999999999909</v>
      </c>
      <c r="AF60" s="372">
        <f t="shared" si="9"/>
        <v>0.9533333333333337</v>
      </c>
      <c r="AG60" s="573">
        <f>AF66</f>
        <v>0.95542696208456368</v>
      </c>
    </row>
    <row r="61" spans="1:33" ht="15.75" customHeight="1">
      <c r="A61" s="578" t="s">
        <v>2275</v>
      </c>
      <c r="B61" s="377" t="s">
        <v>94</v>
      </c>
      <c r="C61" s="574" t="s">
        <v>125</v>
      </c>
      <c r="D61" s="574"/>
      <c r="E61" s="39">
        <v>19.02</v>
      </c>
      <c r="F61" s="377">
        <v>5000</v>
      </c>
      <c r="G61" s="371">
        <f t="shared" si="45"/>
        <v>95100</v>
      </c>
      <c r="H61" s="48">
        <v>2</v>
      </c>
      <c r="I61" s="374">
        <v>14</v>
      </c>
      <c r="J61" s="43">
        <v>2400</v>
      </c>
      <c r="K61" s="18">
        <f t="shared" si="1"/>
        <v>171.42857142857142</v>
      </c>
      <c r="L61" s="374">
        <v>14</v>
      </c>
      <c r="M61" s="19">
        <f t="shared" si="46"/>
        <v>2290.0763358778631</v>
      </c>
      <c r="N61" s="18">
        <f t="shared" si="3"/>
        <v>163.57688113413309</v>
      </c>
      <c r="O61" s="20">
        <f t="shared" si="4"/>
        <v>0</v>
      </c>
      <c r="P61" s="21">
        <f t="shared" si="5"/>
        <v>-7.8516902944383276</v>
      </c>
      <c r="Q61" s="372">
        <f t="shared" si="6"/>
        <v>0.95419847328244312</v>
      </c>
      <c r="R61" s="573"/>
      <c r="S61" s="49">
        <v>0.16666666666666666</v>
      </c>
      <c r="T61" s="49">
        <v>0.25763888888888886</v>
      </c>
      <c r="U61" s="371">
        <f t="shared" ref="U61:U65" si="48">(S61-T60)*24*60</f>
        <v>30.000000000000014</v>
      </c>
      <c r="V61" s="375">
        <f t="shared" si="47"/>
        <v>130.99999999999997</v>
      </c>
      <c r="W61" s="25"/>
      <c r="X61" s="25"/>
      <c r="Y61" s="25"/>
      <c r="Z61" s="25"/>
      <c r="AA61" s="575"/>
      <c r="AB61" s="575"/>
      <c r="AC61" s="50"/>
      <c r="AD61" s="27"/>
      <c r="AE61" s="20">
        <f t="shared" si="43"/>
        <v>-109.92366412213687</v>
      </c>
      <c r="AF61" s="372">
        <f t="shared" si="9"/>
        <v>0.954198473282443</v>
      </c>
      <c r="AG61" s="573"/>
    </row>
    <row r="62" spans="1:33" ht="15.75" customHeight="1">
      <c r="A62" s="578" t="s">
        <v>2275</v>
      </c>
      <c r="B62" s="377" t="s">
        <v>94</v>
      </c>
      <c r="C62" s="574" t="s">
        <v>99</v>
      </c>
      <c r="D62" s="574"/>
      <c r="E62" s="39">
        <v>20.36</v>
      </c>
      <c r="F62" s="377">
        <v>4216</v>
      </c>
      <c r="G62" s="371">
        <f t="shared" si="45"/>
        <v>85837.759999999995</v>
      </c>
      <c r="H62" s="48" t="s">
        <v>126</v>
      </c>
      <c r="I62" s="374">
        <v>17</v>
      </c>
      <c r="J62" s="43">
        <v>2400</v>
      </c>
      <c r="K62" s="18">
        <f t="shared" si="1"/>
        <v>141.1764705882353</v>
      </c>
      <c r="L62" s="374">
        <v>17</v>
      </c>
      <c r="M62" s="19">
        <f t="shared" si="46"/>
        <v>2299.6363636363631</v>
      </c>
      <c r="N62" s="18">
        <f t="shared" si="3"/>
        <v>135.27272727272725</v>
      </c>
      <c r="O62" s="20">
        <f t="shared" si="4"/>
        <v>0</v>
      </c>
      <c r="P62" s="21">
        <f t="shared" si="5"/>
        <v>-5.9037433155080521</v>
      </c>
      <c r="Q62" s="372">
        <f t="shared" si="6"/>
        <v>0.95818181818181791</v>
      </c>
      <c r="R62" s="573"/>
      <c r="S62" s="49">
        <v>0.2631944444444444</v>
      </c>
      <c r="T62" s="49">
        <v>0.33958333333333329</v>
      </c>
      <c r="U62" s="371">
        <f t="shared" si="48"/>
        <v>7.9999999999999716</v>
      </c>
      <c r="V62" s="375">
        <f t="shared" si="47"/>
        <v>110.00000000000001</v>
      </c>
      <c r="W62" s="25"/>
      <c r="X62" s="25"/>
      <c r="Y62" s="25"/>
      <c r="Z62" s="25"/>
      <c r="AA62" s="575"/>
      <c r="AB62" s="575"/>
      <c r="AC62" s="50"/>
      <c r="AD62" s="27"/>
      <c r="AE62" s="20">
        <f t="shared" si="43"/>
        <v>-100.36363636363694</v>
      </c>
      <c r="AF62" s="372">
        <f t="shared" si="9"/>
        <v>0.95818181818181791</v>
      </c>
      <c r="AG62" s="573"/>
    </row>
    <row r="63" spans="1:33" ht="15.75" customHeight="1">
      <c r="A63" s="578" t="s">
        <v>2276</v>
      </c>
      <c r="B63" s="377" t="s">
        <v>94</v>
      </c>
      <c r="C63" s="574" t="s">
        <v>123</v>
      </c>
      <c r="D63" s="574"/>
      <c r="E63" s="39">
        <v>20.21</v>
      </c>
      <c r="F63" s="377">
        <v>2670</v>
      </c>
      <c r="G63" s="371">
        <f t="shared" si="45"/>
        <v>53960.700000000004</v>
      </c>
      <c r="H63" s="48" t="s">
        <v>126</v>
      </c>
      <c r="I63" s="374">
        <v>15</v>
      </c>
      <c r="J63" s="43">
        <v>2400</v>
      </c>
      <c r="K63" s="18">
        <f t="shared" si="1"/>
        <v>160</v>
      </c>
      <c r="L63" s="374">
        <v>15</v>
      </c>
      <c r="M63" s="19">
        <f t="shared" si="46"/>
        <v>2288.5714285714294</v>
      </c>
      <c r="N63" s="18">
        <f t="shared" si="3"/>
        <v>152.57142857142861</v>
      </c>
      <c r="O63" s="20">
        <f t="shared" si="4"/>
        <v>0</v>
      </c>
      <c r="P63" s="21">
        <f t="shared" si="5"/>
        <v>-7.428571428571388</v>
      </c>
      <c r="Q63" s="372">
        <f t="shared" si="6"/>
        <v>0.95357142857142885</v>
      </c>
      <c r="R63" s="573"/>
      <c r="S63" s="49">
        <v>0.3430555555555555</v>
      </c>
      <c r="T63" s="49">
        <v>0.39166666666666661</v>
      </c>
      <c r="U63" s="371">
        <f t="shared" si="48"/>
        <v>4.9999999999999822</v>
      </c>
      <c r="V63" s="375">
        <f t="shared" si="47"/>
        <v>69.999999999999986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-111.42857142857065</v>
      </c>
      <c r="AF63" s="372">
        <f t="shared" si="9"/>
        <v>0.95357142857142885</v>
      </c>
      <c r="AG63" s="573"/>
    </row>
    <row r="64" spans="1:33" ht="15.75" customHeight="1">
      <c r="A64" s="578" t="s">
        <v>2275</v>
      </c>
      <c r="B64" s="377" t="s">
        <v>94</v>
      </c>
      <c r="C64" s="574" t="s">
        <v>1954</v>
      </c>
      <c r="D64" s="574"/>
      <c r="E64" s="39">
        <v>20.21</v>
      </c>
      <c r="F64" s="377">
        <v>5438</v>
      </c>
      <c r="G64" s="371">
        <f t="shared" si="45"/>
        <v>109901.98000000001</v>
      </c>
      <c r="H64" s="48" t="s">
        <v>126</v>
      </c>
      <c r="I64" s="374">
        <v>18</v>
      </c>
      <c r="J64" s="43">
        <v>2400</v>
      </c>
      <c r="K64" s="18">
        <f t="shared" si="1"/>
        <v>133.33333333333334</v>
      </c>
      <c r="L64" s="374">
        <v>18</v>
      </c>
      <c r="M64" s="19">
        <f t="shared" si="46"/>
        <v>2297.74647887324</v>
      </c>
      <c r="N64" s="18">
        <f t="shared" si="3"/>
        <v>127.65258215962444</v>
      </c>
      <c r="O64" s="20">
        <f t="shared" si="4"/>
        <v>0</v>
      </c>
      <c r="P64" s="21">
        <f t="shared" si="5"/>
        <v>-5.6807511737088987</v>
      </c>
      <c r="Q64" s="372">
        <f t="shared" si="6"/>
        <v>0.95739436619718321</v>
      </c>
      <c r="R64" s="573"/>
      <c r="S64" s="49">
        <v>0.39722222222222214</v>
      </c>
      <c r="T64" s="49">
        <v>0.49583333333333324</v>
      </c>
      <c r="U64" s="371">
        <f t="shared" si="48"/>
        <v>7.9999999999999716</v>
      </c>
      <c r="V64" s="375">
        <f t="shared" si="47"/>
        <v>141.99999999999997</v>
      </c>
      <c r="W64" s="25">
        <f>T64</f>
        <v>0.49583333333333324</v>
      </c>
      <c r="X64" s="25">
        <f>S65</f>
        <v>0.53749999999999987</v>
      </c>
      <c r="Y64" s="25"/>
      <c r="Z64" s="25"/>
      <c r="AA64" s="575"/>
      <c r="AB64" s="575"/>
      <c r="AC64" s="50"/>
      <c r="AD64" s="27"/>
      <c r="AE64" s="20">
        <f t="shared" si="43"/>
        <v>-102.25352112676001</v>
      </c>
      <c r="AF64" s="372">
        <f t="shared" si="9"/>
        <v>0.95739436619718332</v>
      </c>
      <c r="AG64" s="573"/>
    </row>
    <row r="65" spans="1:33" ht="15.75" customHeight="1">
      <c r="A65" s="578" t="s">
        <v>2275</v>
      </c>
      <c r="B65" s="377" t="s">
        <v>94</v>
      </c>
      <c r="C65" s="574" t="s">
        <v>125</v>
      </c>
      <c r="D65" s="574"/>
      <c r="E65" s="39">
        <v>19.02</v>
      </c>
      <c r="F65" s="377">
        <v>3250</v>
      </c>
      <c r="G65" s="371">
        <f t="shared" si="45"/>
        <v>61815</v>
      </c>
      <c r="H65" s="48" t="s">
        <v>126</v>
      </c>
      <c r="I65" s="374">
        <v>14</v>
      </c>
      <c r="J65" s="43">
        <v>2400</v>
      </c>
      <c r="K65" s="18">
        <f t="shared" si="1"/>
        <v>171.42857142857142</v>
      </c>
      <c r="L65" s="374">
        <v>14</v>
      </c>
      <c r="M65" s="19">
        <f t="shared" si="46"/>
        <v>2294.117647058823</v>
      </c>
      <c r="N65" s="18">
        <f t="shared" si="3"/>
        <v>163.86554621848737</v>
      </c>
      <c r="O65" s="20">
        <f t="shared" si="4"/>
        <v>0</v>
      </c>
      <c r="P65" s="21">
        <f t="shared" si="5"/>
        <v>-7.5630252100840494</v>
      </c>
      <c r="Q65" s="372">
        <f t="shared" si="6"/>
        <v>0.95588235294117641</v>
      </c>
      <c r="R65" s="573"/>
      <c r="S65" s="49">
        <v>0.53749999999999987</v>
      </c>
      <c r="T65" s="49">
        <v>0.59652777777777766</v>
      </c>
      <c r="U65" s="371">
        <f t="shared" si="48"/>
        <v>59.999999999999943</v>
      </c>
      <c r="V65" s="375">
        <f t="shared" si="47"/>
        <v>85.000000000000014</v>
      </c>
      <c r="W65" s="25"/>
      <c r="X65" s="25"/>
      <c r="Y65" s="25"/>
      <c r="Z65" s="25"/>
      <c r="AA65" s="575"/>
      <c r="AB65" s="575"/>
      <c r="AC65" s="50"/>
      <c r="AD65" s="27"/>
      <c r="AE65" s="20">
        <f t="shared" si="43"/>
        <v>-105.88235294117703</v>
      </c>
      <c r="AF65" s="372">
        <f t="shared" si="9"/>
        <v>0.95588235294117618</v>
      </c>
      <c r="AG65" s="573"/>
    </row>
    <row r="66" spans="1:33" ht="16.5" customHeight="1">
      <c r="A66" s="579" t="s">
        <v>2276</v>
      </c>
      <c r="B66" s="39" t="s">
        <v>2254</v>
      </c>
      <c r="C66" s="570"/>
      <c r="D66" s="571"/>
      <c r="E66" s="373"/>
      <c r="F66" s="42"/>
      <c r="G66" s="18"/>
      <c r="H66" s="377"/>
      <c r="I66" s="32">
        <v>15.5</v>
      </c>
      <c r="J66" s="43">
        <v>2400</v>
      </c>
      <c r="K66" s="18">
        <f t="shared" si="1"/>
        <v>154.83870967741936</v>
      </c>
      <c r="L66" s="32">
        <v>15.5</v>
      </c>
      <c r="M66" s="19">
        <f>AVERAGE(M60:M65)</f>
        <v>2293.0247090029529</v>
      </c>
      <c r="N66" s="18">
        <f t="shared" si="3"/>
        <v>147.93707800019052</v>
      </c>
      <c r="O66" s="20">
        <f t="shared" si="4"/>
        <v>0</v>
      </c>
      <c r="P66" s="21">
        <f t="shared" si="5"/>
        <v>-6.9016316772288349</v>
      </c>
      <c r="Q66" s="372">
        <f t="shared" si="6"/>
        <v>0.95542696208456379</v>
      </c>
      <c r="R66" s="573"/>
      <c r="S66" s="49"/>
      <c r="T66" s="49"/>
      <c r="U66" s="18"/>
      <c r="V66" s="375"/>
      <c r="W66" s="18"/>
      <c r="X66" s="18"/>
      <c r="Y66" s="33">
        <f>SUM(Y60:Y65)</f>
        <v>0</v>
      </c>
      <c r="Z66" s="33">
        <f>SUM(Z60:Z65)</f>
        <v>0</v>
      </c>
      <c r="AA66" s="572"/>
      <c r="AB66" s="572"/>
      <c r="AC66" s="33">
        <v>6</v>
      </c>
      <c r="AD66" s="33">
        <f>SUM(AD60:AD65)</f>
        <v>0</v>
      </c>
      <c r="AE66" s="20">
        <f t="shared" si="43"/>
        <v>-106.97529099704707</v>
      </c>
      <c r="AF66" s="372">
        <f t="shared" si="9"/>
        <v>0.95542696208456368</v>
      </c>
      <c r="AG66" s="573"/>
    </row>
    <row r="67" spans="1:33">
      <c r="D67" s="35"/>
      <c r="E67" s="35"/>
    </row>
  </sheetData>
  <mergeCells count="185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4:AG18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A19:A25"/>
    <mergeCell ref="C19:D19"/>
    <mergeCell ref="R19:R25"/>
    <mergeCell ref="AA19:AB19"/>
    <mergeCell ref="AA24:AB24"/>
    <mergeCell ref="C25:D25"/>
    <mergeCell ref="AA25:AB25"/>
    <mergeCell ref="A14:A18"/>
    <mergeCell ref="C14:D14"/>
    <mergeCell ref="R14:R18"/>
    <mergeCell ref="AA14:AB14"/>
    <mergeCell ref="AG26:AG33"/>
    <mergeCell ref="C27:D27"/>
    <mergeCell ref="AA27:AB27"/>
    <mergeCell ref="C28:D28"/>
    <mergeCell ref="AA28:AB28"/>
    <mergeCell ref="C29:D29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A29:AB29"/>
    <mergeCell ref="C30:D30"/>
    <mergeCell ref="AA30:AB30"/>
    <mergeCell ref="C31:D31"/>
    <mergeCell ref="AA31:AB31"/>
    <mergeCell ref="C32:D32"/>
    <mergeCell ref="AA32:AB32"/>
    <mergeCell ref="A26:A33"/>
    <mergeCell ref="C26:D26"/>
    <mergeCell ref="R26:R33"/>
    <mergeCell ref="AA26:AB26"/>
    <mergeCell ref="C33:D33"/>
    <mergeCell ref="AA33:AB33"/>
    <mergeCell ref="A34:A40"/>
    <mergeCell ref="C34:D34"/>
    <mergeCell ref="R34:R40"/>
    <mergeCell ref="AA34:AB34"/>
    <mergeCell ref="AA39:AB39"/>
    <mergeCell ref="C40:D40"/>
    <mergeCell ref="AA40:AB40"/>
    <mergeCell ref="AG41:AG45"/>
    <mergeCell ref="C42:D42"/>
    <mergeCell ref="AA42:AB42"/>
    <mergeCell ref="C43:D43"/>
    <mergeCell ref="AA43:AB43"/>
    <mergeCell ref="C44:D44"/>
    <mergeCell ref="AG34:AG40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4:AB44"/>
    <mergeCell ref="C45:D45"/>
    <mergeCell ref="AA45:AB45"/>
    <mergeCell ref="A46:A53"/>
    <mergeCell ref="C46:D46"/>
    <mergeCell ref="R46:R53"/>
    <mergeCell ref="AA46:AB46"/>
    <mergeCell ref="AA52:AB52"/>
    <mergeCell ref="C53:D53"/>
    <mergeCell ref="AA53:AB53"/>
    <mergeCell ref="A41:A45"/>
    <mergeCell ref="C41:D41"/>
    <mergeCell ref="R41:R45"/>
    <mergeCell ref="AA41:AB41"/>
    <mergeCell ref="AG54:AG59"/>
    <mergeCell ref="C55:D55"/>
    <mergeCell ref="AA55:AB55"/>
    <mergeCell ref="C56:D56"/>
    <mergeCell ref="AA56:AB56"/>
    <mergeCell ref="C57:D57"/>
    <mergeCell ref="AG46:AG53"/>
    <mergeCell ref="C47:D47"/>
    <mergeCell ref="AA47:AB47"/>
    <mergeCell ref="C48:D48"/>
    <mergeCell ref="AA48:AB48"/>
    <mergeCell ref="AA49:AB49"/>
    <mergeCell ref="AA50:AB50"/>
    <mergeCell ref="C51:D51"/>
    <mergeCell ref="AA51:AB51"/>
    <mergeCell ref="C52:D52"/>
    <mergeCell ref="AA57:AB57"/>
    <mergeCell ref="C58:D58"/>
    <mergeCell ref="AA58:AB58"/>
    <mergeCell ref="C59:D59"/>
    <mergeCell ref="AA59:AB59"/>
    <mergeCell ref="A60:A66"/>
    <mergeCell ref="C60:D60"/>
    <mergeCell ref="R60:R66"/>
    <mergeCell ref="AA60:AB60"/>
    <mergeCell ref="AA65:AB65"/>
    <mergeCell ref="A54:A59"/>
    <mergeCell ref="C54:D54"/>
    <mergeCell ref="R54:R59"/>
    <mergeCell ref="AA54:AB54"/>
    <mergeCell ref="C66:D66"/>
    <mergeCell ref="AA66:AB66"/>
    <mergeCell ref="AG60:AG66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</mergeCells>
  <phoneticPr fontId="3" type="noConversion"/>
  <conditionalFormatting sqref="O53:O54 O57:O66 O5:O9 O13:O15 O18:O51">
    <cfRule type="cellIs" dxfId="1280" priority="36" operator="greaterThan">
      <formula>0</formula>
    </cfRule>
  </conditionalFormatting>
  <conditionalFormatting sqref="P5:P7 P57:P58 AE57:AE58 P60:P65 P26:P32 P54 P9 P13:P15 P19:P24 P46:P51 P34:P44 AE5:AE54 AE60:AE66">
    <cfRule type="cellIs" dxfId="1279" priority="40" operator="lessThan">
      <formula>0</formula>
    </cfRule>
  </conditionalFormatting>
  <conditionalFormatting sqref="AF57:AF58 Q53:Q54 Q57:Q66 Q5:Q9 Q13:Q15 Q18:Q51 AF5:AF54 AF60:AF66">
    <cfRule type="cellIs" dxfId="1278" priority="37" operator="greaterThan">
      <formula>1</formula>
    </cfRule>
    <cfRule type="cellIs" dxfId="1277" priority="38" operator="lessThan">
      <formula>0.8</formula>
    </cfRule>
  </conditionalFormatting>
  <conditionalFormatting sqref="AG14:AG15 R14:R15 AG57 AG53:AG54 R53:R54 R57:R66 AG5:AG9 R5:R9 AG18:AG51 R18:R51">
    <cfRule type="cellIs" dxfId="1276" priority="42" operator="lessThan">
      <formula>0.8</formula>
    </cfRule>
  </conditionalFormatting>
  <conditionalFormatting sqref="AG41">
    <cfRule type="cellIs" dxfId="1275" priority="44" operator="lessThan">
      <formula>0.8</formula>
    </cfRule>
  </conditionalFormatting>
  <conditionalFormatting sqref="AG19:AG24">
    <cfRule type="cellIs" dxfId="1274" priority="41" operator="lessThan">
      <formula>0.8</formula>
    </cfRule>
  </conditionalFormatting>
  <conditionalFormatting sqref="AG26">
    <cfRule type="cellIs" dxfId="1273" priority="43" operator="lessThan">
      <formula>0.8</formula>
    </cfRule>
  </conditionalFormatting>
  <conditionalFormatting sqref="AG34:AG39">
    <cfRule type="cellIs" dxfId="1272" priority="39" operator="lessThan">
      <formula>0.8</formula>
    </cfRule>
  </conditionalFormatting>
  <conditionalFormatting sqref="AE59">
    <cfRule type="cellIs" dxfId="1271" priority="35" operator="lessThan">
      <formula>0</formula>
    </cfRule>
  </conditionalFormatting>
  <conditionalFormatting sqref="AF59">
    <cfRule type="cellIs" dxfId="1270" priority="33" operator="greaterThan">
      <formula>1</formula>
    </cfRule>
    <cfRule type="cellIs" dxfId="1269" priority="34" operator="lessThan">
      <formula>0.8</formula>
    </cfRule>
  </conditionalFormatting>
  <conditionalFormatting sqref="O16:O17">
    <cfRule type="cellIs" dxfId="1268" priority="28" operator="greaterThan">
      <formula>0</formula>
    </cfRule>
  </conditionalFormatting>
  <conditionalFormatting sqref="P16:P17">
    <cfRule type="cellIs" dxfId="1267" priority="31" operator="lessThan">
      <formula>0</formula>
    </cfRule>
  </conditionalFormatting>
  <conditionalFormatting sqref="Q16:Q17">
    <cfRule type="cellIs" dxfId="1266" priority="29" operator="greaterThan">
      <formula>1</formula>
    </cfRule>
    <cfRule type="cellIs" dxfId="1265" priority="30" operator="lessThan">
      <formula>0.8</formula>
    </cfRule>
  </conditionalFormatting>
  <conditionalFormatting sqref="R16:R17 AG16:AG17">
    <cfRule type="cellIs" dxfId="1264" priority="32" operator="lessThan">
      <formula>0.8</formula>
    </cfRule>
  </conditionalFormatting>
  <conditionalFormatting sqref="O10:O12">
    <cfRule type="cellIs" dxfId="1263" priority="24" operator="greaterThan">
      <formula>0</formula>
    </cfRule>
  </conditionalFormatting>
  <conditionalFormatting sqref="P10:P12">
    <cfRule type="cellIs" dxfId="1262" priority="27" operator="lessThan">
      <formula>0</formula>
    </cfRule>
  </conditionalFormatting>
  <conditionalFormatting sqref="Q10:Q12">
    <cfRule type="cellIs" dxfId="1261" priority="25" operator="greaterThan">
      <formula>1</formula>
    </cfRule>
    <cfRule type="cellIs" dxfId="1260" priority="26" operator="lessThan">
      <formula>0.8</formula>
    </cfRule>
  </conditionalFormatting>
  <conditionalFormatting sqref="O52">
    <cfRule type="cellIs" dxfId="1259" priority="19" operator="greaterThan">
      <formula>0</formula>
    </cfRule>
  </conditionalFormatting>
  <conditionalFormatting sqref="P52">
    <cfRule type="cellIs" dxfId="1258" priority="22" operator="lessThan">
      <formula>0</formula>
    </cfRule>
  </conditionalFormatting>
  <conditionalFormatting sqref="Q52">
    <cfRule type="cellIs" dxfId="1257" priority="20" operator="greaterThan">
      <formula>1</formula>
    </cfRule>
    <cfRule type="cellIs" dxfId="1256" priority="21" operator="lessThan">
      <formula>0.8</formula>
    </cfRule>
  </conditionalFormatting>
  <conditionalFormatting sqref="R52 AG52">
    <cfRule type="cellIs" dxfId="1255" priority="23" operator="lessThan">
      <formula>0.8</formula>
    </cfRule>
  </conditionalFormatting>
  <conditionalFormatting sqref="O56">
    <cfRule type="cellIs" dxfId="1254" priority="14" operator="greaterThan">
      <formula>0</formula>
    </cfRule>
  </conditionalFormatting>
  <conditionalFormatting sqref="P56 AE56">
    <cfRule type="cellIs" dxfId="1253" priority="17" operator="lessThan">
      <formula>0</formula>
    </cfRule>
  </conditionalFormatting>
  <conditionalFormatting sqref="Q56 AF56">
    <cfRule type="cellIs" dxfId="1252" priority="15" operator="greaterThan">
      <formula>1</formula>
    </cfRule>
    <cfRule type="cellIs" dxfId="1251" priority="16" operator="lessThan">
      <formula>0.8</formula>
    </cfRule>
  </conditionalFormatting>
  <conditionalFormatting sqref="R56 AG56">
    <cfRule type="cellIs" dxfId="1250" priority="18" operator="lessThan">
      <formula>0.8</formula>
    </cfRule>
  </conditionalFormatting>
  <conditionalFormatting sqref="O55">
    <cfRule type="cellIs" dxfId="1249" priority="9" operator="greaterThan">
      <formula>0</formula>
    </cfRule>
  </conditionalFormatting>
  <conditionalFormatting sqref="P55 AE55">
    <cfRule type="cellIs" dxfId="1248" priority="12" operator="lessThan">
      <formula>0</formula>
    </cfRule>
  </conditionalFormatting>
  <conditionalFormatting sqref="Q55 AF55">
    <cfRule type="cellIs" dxfId="1247" priority="10" operator="greaterThan">
      <formula>1</formula>
    </cfRule>
    <cfRule type="cellIs" dxfId="1246" priority="11" operator="lessThan">
      <formula>0.8</formula>
    </cfRule>
  </conditionalFormatting>
  <conditionalFormatting sqref="R55 AG55">
    <cfRule type="cellIs" dxfId="1245" priority="13" operator="lessThan">
      <formula>0.8</formula>
    </cfRule>
  </conditionalFormatting>
  <conditionalFormatting sqref="P8">
    <cfRule type="cellIs" dxfId="1244" priority="8" operator="lessThan">
      <formula>0</formula>
    </cfRule>
  </conditionalFormatting>
  <conditionalFormatting sqref="P18">
    <cfRule type="cellIs" dxfId="1243" priority="7" operator="lessThan">
      <formula>0</formula>
    </cfRule>
  </conditionalFormatting>
  <conditionalFormatting sqref="P25">
    <cfRule type="cellIs" dxfId="1242" priority="6" operator="lessThan">
      <formula>0</formula>
    </cfRule>
  </conditionalFormatting>
  <conditionalFormatting sqref="P33">
    <cfRule type="cellIs" dxfId="1241" priority="5" operator="lessThan">
      <formula>0</formula>
    </cfRule>
  </conditionalFormatting>
  <conditionalFormatting sqref="P45">
    <cfRule type="cellIs" dxfId="1240" priority="4" operator="lessThan">
      <formula>0</formula>
    </cfRule>
  </conditionalFormatting>
  <conditionalFormatting sqref="P53">
    <cfRule type="cellIs" dxfId="1239" priority="3" operator="lessThan">
      <formula>0</formula>
    </cfRule>
  </conditionalFormatting>
  <conditionalFormatting sqref="P59">
    <cfRule type="cellIs" dxfId="1238" priority="2" operator="lessThan">
      <formula>0</formula>
    </cfRule>
  </conditionalFormatting>
  <conditionalFormatting sqref="P66">
    <cfRule type="cellIs" dxfId="1237" priority="1" operator="lessThan">
      <formula>0</formula>
    </cfRule>
  </conditionalFormatting>
  <dataValidations count="1">
    <dataValidation type="list" allowBlank="1" showInputMessage="1" showErrorMessage="1" sqref="AB8 AA5:AB7 AB58 AA8:AA58 AB10:AB54 AA59:AB6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7" sqref="E7:F7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2057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2058</v>
      </c>
      <c r="C3" s="555" t="str">
        <f>TEXT('0521 4度C'!A2,"yyyy.mm.ddaaaa")</f>
        <v>2026.05.21星期四</v>
      </c>
      <c r="D3" s="556"/>
      <c r="E3" s="54" t="s">
        <v>2059</v>
      </c>
      <c r="F3" s="557">
        <f>'0521 4度C'!D1</f>
        <v>165003</v>
      </c>
      <c r="G3" s="558"/>
      <c r="H3" s="54" t="s">
        <v>2060</v>
      </c>
      <c r="I3" s="559">
        <f>'0521 4度C'!F1</f>
        <v>5460794.9000000004</v>
      </c>
      <c r="J3" s="560"/>
      <c r="K3" s="55"/>
      <c r="L3" s="56"/>
      <c r="M3" s="57"/>
      <c r="N3" s="57"/>
    </row>
    <row r="4" spans="2:17" ht="28.5" customHeight="1">
      <c r="B4" s="561" t="s">
        <v>2061</v>
      </c>
      <c r="C4" s="547" t="s">
        <v>2062</v>
      </c>
      <c r="D4" s="548"/>
      <c r="E4" s="564" t="s">
        <v>2063</v>
      </c>
      <c r="F4" s="565"/>
      <c r="G4" s="564" t="s">
        <v>2064</v>
      </c>
      <c r="H4" s="565"/>
      <c r="I4" s="564" t="s">
        <v>2065</v>
      </c>
      <c r="J4" s="565"/>
      <c r="K4" s="545" t="s">
        <v>2066</v>
      </c>
      <c r="L4" s="546"/>
      <c r="M4" s="546" t="s">
        <v>2067</v>
      </c>
      <c r="N4" s="546"/>
    </row>
    <row r="5" spans="2:17" ht="28.5" customHeight="1">
      <c r="B5" s="562"/>
      <c r="C5" s="547" t="s">
        <v>2068</v>
      </c>
      <c r="D5" s="548"/>
      <c r="E5" s="547" t="s">
        <v>2069</v>
      </c>
      <c r="F5" s="548"/>
      <c r="G5" s="549" t="s">
        <v>2070</v>
      </c>
      <c r="H5" s="550"/>
      <c r="I5" s="551" t="s">
        <v>2071</v>
      </c>
      <c r="J5" s="552"/>
      <c r="K5" s="58" t="s">
        <v>2072</v>
      </c>
      <c r="L5" s="59" t="s">
        <v>2073</v>
      </c>
      <c r="M5" s="58" t="s">
        <v>142</v>
      </c>
      <c r="N5" s="59" t="s">
        <v>2074</v>
      </c>
    </row>
    <row r="6" spans="2:17" ht="28.5" customHeight="1">
      <c r="B6" s="562"/>
      <c r="C6" s="547" t="s">
        <v>145</v>
      </c>
      <c r="D6" s="548"/>
      <c r="E6" s="539">
        <f>AVERAGE(D13:M13)</f>
        <v>152.36872471446097</v>
      </c>
      <c r="F6" s="540">
        <f>AVERAGE(D31:O31,D13:J13)</f>
        <v>158.98955292060373</v>
      </c>
      <c r="G6" s="541">
        <f>AVERAGE(D13:J13)</f>
        <v>158.98955292060373</v>
      </c>
      <c r="H6" s="542"/>
      <c r="I6" s="541">
        <f>AVERAGE(K13:M13)</f>
        <v>136.92012556679455</v>
      </c>
      <c r="J6" s="542"/>
      <c r="K6" s="543">
        <f>'0521 4度C'!Y2</f>
        <v>0</v>
      </c>
      <c r="L6" s="528">
        <f>'0521 4度C'!Z2</f>
        <v>0</v>
      </c>
      <c r="M6" s="544">
        <f>'0521 4度C'!AC2</f>
        <v>56</v>
      </c>
      <c r="N6" s="528">
        <f>'0521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145.8749359320903</v>
      </c>
      <c r="F7" s="532">
        <f>AVERAGE(D32:O32,D14:J14)</f>
        <v>152.30165770917114</v>
      </c>
      <c r="G7" s="533">
        <f>AVERAGE(D14:J14)</f>
        <v>152.30165770917114</v>
      </c>
      <c r="H7" s="534"/>
      <c r="I7" s="533">
        <f>AVERAGE(K14:M14)</f>
        <v>130.87925178556839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0.95771942536976851</v>
      </c>
      <c r="F8" s="536">
        <f>AVERAGE(D15:J15,D33:O33)</f>
        <v>0.95845596185747317</v>
      </c>
      <c r="G8" s="537">
        <f>AVERAGE(D15:J15)</f>
        <v>0.95845596185747317</v>
      </c>
      <c r="H8" s="538"/>
      <c r="I8" s="537">
        <f>AVERAGE(K15:M15)</f>
        <v>0.9560008402317911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2075</v>
      </c>
      <c r="N9" s="57"/>
      <c r="O9" s="57"/>
      <c r="P9" s="57"/>
      <c r="Q9" s="57"/>
    </row>
    <row r="10" spans="2:17" ht="30" customHeight="1">
      <c r="B10" s="511" t="s">
        <v>2076</v>
      </c>
      <c r="C10" s="512"/>
      <c r="D10" s="513" t="s">
        <v>2077</v>
      </c>
      <c r="E10" s="514"/>
      <c r="F10" s="514"/>
      <c r="G10" s="514"/>
      <c r="H10" s="514"/>
      <c r="I10" s="514"/>
      <c r="J10" s="515"/>
      <c r="K10" s="516" t="s">
        <v>2078</v>
      </c>
      <c r="L10" s="517"/>
      <c r="M10" s="518"/>
      <c r="P10" s="63"/>
      <c r="Q10" s="63"/>
    </row>
    <row r="11" spans="2:17" ht="17.25" customHeight="1">
      <c r="B11" s="519" t="s">
        <v>2079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2080</v>
      </c>
      <c r="C13" s="70" t="s">
        <v>2081</v>
      </c>
      <c r="D13" s="71">
        <f>SUMIFS('0521 4度C'!$K:$K,'0521 4度C'!$A:$A,"新豐6線",'0521 4度C'!$B:$B,"平均")</f>
        <v>127.65957446808511</v>
      </c>
      <c r="E13" s="72">
        <f>SUMIFS('0521 4度C'!$K:$K,'0521 4度C'!$A:$A,"新豐2線",'0521 4度C'!$B:$B,"平均")</f>
        <v>86.956521739130437</v>
      </c>
      <c r="F13" s="73">
        <f>SUMIFS('0521 4度C'!$K:$K,'0521 4度C'!$A:$A,"新豐5線",'0521 4度C'!$B:$B,"平均")</f>
        <v>98.591549295774641</v>
      </c>
      <c r="G13" s="73">
        <f>SUMIFS('0521 4度C'!$K:$K,'0521 4度C'!$A:$A,"新豐7線",'0521 4度C'!$B:$B,"平均")</f>
        <v>121.05263157894737</v>
      </c>
      <c r="H13" s="73">
        <f>SUMIFS('0521 4度C'!$K:$K,'0521 4度C'!$A:$A,"新豐3線",'0521 4度C'!$B:$B,"平均")</f>
        <v>255.81395348837211</v>
      </c>
      <c r="I13" s="73">
        <f>SUMIFS('0521 4度C'!$K:$K,'0521 4度C'!$A:$A,"新豐1線",'0521 4度C'!$B:$B,"平均")</f>
        <v>103.70370370370371</v>
      </c>
      <c r="J13" s="74">
        <f>SUMIFS('0521 4度C'!$K:$K,'0521 4度C'!$A:$A,"新豐10線",'0521 4度C'!$B:$B,"平均")</f>
        <v>319.14893617021278</v>
      </c>
      <c r="K13" s="75">
        <f>SUMIFS('0521 4度C'!$K:$K,'0521 4度C'!$A:$A,"新豐8線",'0521 4度C'!$B:$B,"平均")</f>
        <v>136.17021276595744</v>
      </c>
      <c r="L13" s="76">
        <f>SUMIFS('0521 4度C'!$K:$K,'0521 4度C'!$A:$A,"新豐9線",'0521 4度C'!$B:$B,"平均")</f>
        <v>124.59016393442624</v>
      </c>
      <c r="M13" s="74">
        <f>SUMIFS('0521 4度C'!$K:$K,'0521 4度C'!$A:$A,"新豐4線",'0521 4度C'!$B:$B,"平均")</f>
        <v>150</v>
      </c>
    </row>
    <row r="14" spans="2:17" ht="39.6" customHeight="1">
      <c r="B14" s="524"/>
      <c r="C14" s="77" t="s">
        <v>2082</v>
      </c>
      <c r="D14" s="78">
        <f>SUMIFS('0521 4度C'!$N:$N,'0521 4度C'!$A:$A,"新豐6線",'0521 4度C'!$B:$B,"平均")</f>
        <v>122.6581303552517</v>
      </c>
      <c r="E14" s="79">
        <f>SUMIFS('0521 4度C'!$N:$N,'0521 4度C'!$A:$A,"新豐2線",'0521 4度C'!$B:$B,"平均")</f>
        <v>82.878241361453846</v>
      </c>
      <c r="F14" s="79">
        <f>SUMIFS('0521 4度C'!$N:$N,'0521 4度C'!$A:$A,"新豐5線",'0521 4度C'!$B:$B,"平均")</f>
        <v>94.682691983430004</v>
      </c>
      <c r="G14" s="79">
        <f>SUMIFS('0521 4度C'!$N:$N,'0521 4度C'!$A:$A,"新豐7線",'0521 4度C'!$B:$B,"平均")</f>
        <v>116.18068340186849</v>
      </c>
      <c r="H14" s="79">
        <f>SUMIFS('0521 4度C'!$N:$N,'0521 4度C'!$A:$A,"新豐3線",'0521 4度C'!$B:$B,"平均")</f>
        <v>243.96967190132196</v>
      </c>
      <c r="I14" s="79">
        <f>SUMIFS('0521 4度C'!$N:$N,'0521 4度C'!$A:$A,"新豐1線",'0521 4度C'!$B:$B,"平均")</f>
        <v>99.874941022227802</v>
      </c>
      <c r="J14" s="80">
        <f>SUMIFS('0521 4度C'!$N:$N,'0521 4度C'!$A:$A,"新豐10線",'0521 4度C'!$B:$B,"平均")</f>
        <v>305.86724393864421</v>
      </c>
      <c r="K14" s="81">
        <f>SUMIFS('0521 4度C'!$N:$N,'0521 4度C'!$A:$A,"新豐8線",'0521 4度C'!$B:$B,"平均")</f>
        <v>130.15435843851924</v>
      </c>
      <c r="L14" s="82">
        <f>SUMIFS('0521 4度C'!$N:$N,'0521 4度C'!$A:$A,"新豐9線",'0521 4度C'!$B:$B,"平均")</f>
        <v>119.36324997550614</v>
      </c>
      <c r="M14" s="80">
        <f>SUMIFS('0521 4度C'!$N:$N,'0521 4度C'!$A:$A,"新豐4線",'0521 4度C'!$B:$B,"平均")</f>
        <v>143.12014694267975</v>
      </c>
    </row>
    <row r="15" spans="2:17" ht="40.15" customHeight="1">
      <c r="B15" s="525"/>
      <c r="C15" s="83" t="s">
        <v>2083</v>
      </c>
      <c r="D15" s="84">
        <f t="shared" ref="D15:M15" si="0">D14/D13</f>
        <v>0.96082202111613824</v>
      </c>
      <c r="E15" s="85">
        <f t="shared" si="0"/>
        <v>0.95309977565671922</v>
      </c>
      <c r="F15" s="85">
        <f t="shared" si="0"/>
        <v>0.96035301868907585</v>
      </c>
      <c r="G15" s="85">
        <f t="shared" si="0"/>
        <v>0.95975347158065272</v>
      </c>
      <c r="H15" s="85">
        <f t="shared" si="0"/>
        <v>0.95369962652334939</v>
      </c>
      <c r="I15" s="85">
        <f t="shared" si="0"/>
        <v>0.96307978842862518</v>
      </c>
      <c r="J15" s="86">
        <f t="shared" si="0"/>
        <v>0.95838403100775182</v>
      </c>
      <c r="K15" s="84">
        <f t="shared" si="0"/>
        <v>0.95582106978287573</v>
      </c>
      <c r="L15" s="85">
        <f t="shared" si="0"/>
        <v>0.95804713796129914</v>
      </c>
      <c r="M15" s="86">
        <f t="shared" si="0"/>
        <v>0.95413431295119833</v>
      </c>
    </row>
    <row r="16" spans="2:17" ht="17.25" customHeight="1">
      <c r="B16" s="526" t="s">
        <v>215</v>
      </c>
      <c r="C16" s="87" t="s">
        <v>2084</v>
      </c>
      <c r="D16" s="88">
        <f>VLOOKUP("新豐6線",'0521 4度C'!$A:$T,19,0)</f>
        <v>0.70833333333333337</v>
      </c>
      <c r="E16" s="89">
        <f>VLOOKUP("新豐2線",'0521 4度C'!$A:$T,19,0)</f>
        <v>8.3333333333333329E-2</v>
      </c>
      <c r="F16" s="89">
        <f>VLOOKUP("新豐5線",'0521 4度C'!$A:$T,19,0)</f>
        <v>0.20833333333333334</v>
      </c>
      <c r="G16" s="89">
        <f>VLOOKUP("新豐7線",'0521 4度C'!$A:$T,19,0)</f>
        <v>0.20833333333333334</v>
      </c>
      <c r="H16" s="89">
        <f>VLOOKUP("新豐3線",'0521 4度C'!$A:$T,19,0)</f>
        <v>8.3333333333333329E-2</v>
      </c>
      <c r="I16" s="89">
        <f>VLOOKUP("新豐1線",'0521 4度C'!$A:$T,19,0)</f>
        <v>0.20833333333333334</v>
      </c>
      <c r="J16" s="90">
        <f>VLOOKUP("新豐10線",'0521 4度C'!$A:$T,19,0)</f>
        <v>0.20833333333333334</v>
      </c>
      <c r="K16" s="91">
        <f>VLOOKUP("新豐8線",'0521 4度C'!$A:$T,19,0)</f>
        <v>8.3333333333333329E-2</v>
      </c>
      <c r="L16" s="92">
        <f>VLOOKUP("新豐9線",'0521 4度C'!$A:$T,19,0)</f>
        <v>8.3333333333333329E-2</v>
      </c>
      <c r="M16" s="93">
        <f>VLOOKUP("新豐4線",'0521 4度C'!$A:$T,19,0)</f>
        <v>8.3333333333333329E-2</v>
      </c>
    </row>
    <row r="17" spans="2:13" ht="17.25" customHeight="1">
      <c r="B17" s="527"/>
      <c r="C17" s="87" t="s">
        <v>169</v>
      </c>
      <c r="D17" s="91">
        <f>LOOKUP(2,1/(('0521 4度C'!$A:$A="新豐6線")*('0521 4度C'!$T:$T&lt;&gt;"")),'0521 4度C'!$T:$T)</f>
        <v>0.80208333333333337</v>
      </c>
      <c r="E17" s="89">
        <f>LOOKUP(2,1/(('0521 4度C'!$A:$A="新豐2線")*('0521 4度C'!$T:$T&lt;&gt;"")),'0521 4度C'!$T:$T)</f>
        <v>0.61319444444444449</v>
      </c>
      <c r="F17" s="89">
        <f>LOOKUP(2,1/(('0521 4度C'!$A:$A="新豐5線")*('0521 4度C'!$T:$T&lt;&gt;"")),'0521 4度C'!$T:$T)</f>
        <v>0.83402777777777781</v>
      </c>
      <c r="G17" s="89">
        <f>LOOKUP(2,1/(('0521 4度C'!$A:$A="新豐7線")*('0521 4度C'!$T:$T&lt;&gt;"")),'0521 4度C'!$T:$T)</f>
        <v>0.78055555555555556</v>
      </c>
      <c r="H17" s="89">
        <f>LOOKUP(2,1/(('0521 4度C'!$A:$A="新豐3線")*('0521 4度C'!$T:$T&lt;&gt;"")),'0521 4度C'!$T:$T)</f>
        <v>0.38750000000000001</v>
      </c>
      <c r="I17" s="89">
        <f>LOOKUP(2,1/(('0521 4度C'!$A:$A="新豐1線")*('0521 4度C'!$T:$T&lt;&gt;"")),'0521 4度C'!$T:$T)</f>
        <v>0.76458333333333339</v>
      </c>
      <c r="J17" s="90">
        <f>LOOKUP(2,1/(('0521 4度C'!$A:$A="新豐10線")*('0521 4度C'!$T:$T&lt;&gt;"")),'0521 4度C'!$T:$T)</f>
        <v>0.39027777777777772</v>
      </c>
      <c r="K17" s="88">
        <f>LOOKUP(2,1/(('0521 4度C'!$A:$A="新豐8線")*('0521 4度C'!$T:$T&lt;&gt;"")),'0521 4度C'!$T:$T)</f>
        <v>0.70972222222222214</v>
      </c>
      <c r="L17" s="89">
        <f>LOOKUP(2,1/(('0521 4度C'!$A:$A="新豐9線")*('0521 4度C'!$T:$T&lt;&gt;"")),'0521 4度C'!$T:$T)</f>
        <v>0.6791666666666667</v>
      </c>
      <c r="M17" s="90">
        <f>LOOKUP(2,1/(('0521 4度C'!$A:$A="新豐4線")*('0521 4度C'!$T:$T&lt;&gt;"")),'0521 4度C'!$T:$T)</f>
        <v>0.70972222222222225</v>
      </c>
    </row>
    <row r="18" spans="2:13" ht="17.25" customHeight="1">
      <c r="B18" s="505" t="s">
        <v>2085</v>
      </c>
      <c r="C18" s="94" t="s">
        <v>2086</v>
      </c>
      <c r="D18" s="95">
        <f>SUMIFS('0521 4度C'!$Y:$Y,'0521 4度C'!$A:$A,"新豐6線",'0521 4度C'!$B:$B,"平均")</f>
        <v>0</v>
      </c>
      <c r="E18" s="96">
        <f>SUMIFS('0521 4度C'!$Y:$Y,'0521 4度C'!$A:$A,"新豐2線",'0521 4度C'!$B:$B,"平均")</f>
        <v>0</v>
      </c>
      <c r="F18" s="96">
        <f>SUMIFS('0521 4度C'!$Y:$Y,'0521 4度C'!$A:$A,"新豐5線",'0521 4度C'!$B:$B,"平均")</f>
        <v>0</v>
      </c>
      <c r="G18" s="96">
        <f>SUMIFS('0521 4度C'!$Y:$Y,'0521 4度C'!$A:$A,"新豐7線",'0521 4度C'!$B:$B,"平均")</f>
        <v>0</v>
      </c>
      <c r="H18" s="96">
        <f>SUMIFS('0521 4度C'!$Y:$Y,'0521 4度C'!$A:$A,"新豐3線",'0521 4度C'!$B:$B,"平均")</f>
        <v>0</v>
      </c>
      <c r="I18" s="96">
        <f>SUMIFS('0521 4度C'!$Y:$Y,'0521 4度C'!$A:$A,"新豐1線",'0521 4度C'!$B:$B,"平均")</f>
        <v>0</v>
      </c>
      <c r="J18" s="97">
        <f>SUMIFS('0521 4度C'!$Y:$Y,'0521 4度C'!$A:$A,"新豐10線",'0521 4度C'!$B:$B,"平均")</f>
        <v>0</v>
      </c>
      <c r="K18" s="98">
        <f>SUMIFS('0521 4度C'!$Y:$Y,'0521 4度C'!$A:$A,"新豐8線",'0521 4度C'!$B:$B,"平均")</f>
        <v>0</v>
      </c>
      <c r="L18" s="96">
        <f>SUMIFS('0521 4度C'!$Y:$Y,'0521 4度C'!$A:$A,"新豐9線",'0521 4度C'!$B:$B,"平均")</f>
        <v>0</v>
      </c>
      <c r="M18" s="97">
        <f>SUMIFS('0521 4度C'!$Y:$Y,'0521 4度C'!$A:$A,"新豐4線",'0521 4度C'!$B:$B,"平均")</f>
        <v>0</v>
      </c>
    </row>
    <row r="19" spans="2:13" ht="17.25" customHeight="1">
      <c r="B19" s="506"/>
      <c r="C19" s="94" t="s">
        <v>2087</v>
      </c>
      <c r="D19" s="95">
        <f>SUMIFS('0521 4度C'!$Z:$Z,'0521 4度C'!$A:$A,"新豐6線",'0521 4度C'!$B:$B,"平均")</f>
        <v>0</v>
      </c>
      <c r="E19" s="96">
        <f>SUMIFS('0521 4度C'!$Z:$Z,'0521 4度C'!$A:$A,"新豐2線",'0521 4度C'!$B:$B,"平均")</f>
        <v>0</v>
      </c>
      <c r="F19" s="96">
        <f>SUMIFS('0521 4度C'!$Z:$Z,'0521 4度C'!$A:$A,"新豐5線",'0521 4度C'!$B:$B,"平均")</f>
        <v>0</v>
      </c>
      <c r="G19" s="96">
        <f>SUMIFS('0521 4度C'!$Z:$Z,'0521 4度C'!$A:$A,"新豐7線",'0521 4度C'!$B:$B,"平均")</f>
        <v>0</v>
      </c>
      <c r="H19" s="96">
        <f>SUMIFS('0521 4度C'!$Z:$Z,'0521 4度C'!$A:$A,"新豐3線",'0521 4度C'!$B:$B,"平均")</f>
        <v>0</v>
      </c>
      <c r="I19" s="96">
        <f>SUMIFS('0521 4度C'!$Z:$Z,'0521 4度C'!$A:$A,"新豐1線",'0521 4度C'!$B:$B,"平均")</f>
        <v>0</v>
      </c>
      <c r="J19" s="97">
        <f>SUMIFS('0521 4度C'!$Z:$Z,'0521 4度C'!$A:$A,"新豐10線",'0521 4度C'!$B:$B,"平均")</f>
        <v>0</v>
      </c>
      <c r="K19" s="98">
        <f>SUMIFS('0521 4度C'!$Z:$Z,'0521 4度C'!$A:$A,"新豐8線",'0521 4度C'!$B:$B,"平均")</f>
        <v>0</v>
      </c>
      <c r="L19" s="96">
        <f>SUMIFS('0521 4度C'!$Z:$Z,'0521 4度C'!$A:$A,"新豐9線",'0521 4度C'!$B:$B,"平均")</f>
        <v>0</v>
      </c>
      <c r="M19" s="97">
        <f>SUMIFS('0521 4度C'!$Z:$Z,'0521 4度C'!$A:$A,"新豐4線",'0521 4度C'!$B:$B,"平均")</f>
        <v>0</v>
      </c>
    </row>
    <row r="20" spans="2:13" ht="17.25" customHeight="1">
      <c r="B20" s="505" t="s">
        <v>2088</v>
      </c>
      <c r="C20" s="94" t="s">
        <v>40</v>
      </c>
      <c r="D20" s="95">
        <f>SUMIFS('0521 4度C'!$AC:$AC,'0521 4度C'!$A:$A,"新豐6線",'0521 4度C'!$B:$B,"平均")</f>
        <v>3</v>
      </c>
      <c r="E20" s="96">
        <f>SUMIFS('0521 4度C'!$AC:$AC,'0521 4度C'!$A:$A,"新豐2線",'0521 4度C'!$B:$B,"平均")</f>
        <v>4</v>
      </c>
      <c r="F20" s="96">
        <f>SUMIFS('0521 4度C'!$AC:$AC,'0521 4度C'!$A:$A,"新豐5線",'0521 4度C'!$B:$B,"平均")</f>
        <v>4</v>
      </c>
      <c r="G20" s="96">
        <f>SUMIFS('0521 4度C'!$AC:$AC,'0521 4度C'!$A:$A,"新豐7線",'0521 4度C'!$B:$B,"平均")</f>
        <v>6</v>
      </c>
      <c r="H20" s="96">
        <f>SUMIFS('0521 4度C'!$AC:$AC,'0521 4度C'!$A:$A,"新豐3線",'0521 4度C'!$B:$B,"平均")</f>
        <v>4</v>
      </c>
      <c r="I20" s="96">
        <f>SUMIFS('0521 4度C'!$AC:$AC,'0521 4度C'!$A:$A,"新豐1線",'0521 4度C'!$B:$B,"平均")</f>
        <v>7</v>
      </c>
      <c r="J20" s="97">
        <f>SUMIFS('0521 4度C'!$AC:$AC,'0521 4度C'!$A:$A,"新豐10線",'0521 4度C'!$B:$B,"平均")</f>
        <v>5</v>
      </c>
      <c r="K20" s="98">
        <f>SUMIFS('0521 4度C'!$AC:$AC,'0521 4度C'!$A:$A,"新豐8線",'0521 4度C'!$B:$B,"平均")</f>
        <v>8</v>
      </c>
      <c r="L20" s="96">
        <f>SUMIFS('0521 4度C'!$AC:$AC,'0521 4度C'!$A:$A,"新豐9線",'0521 4度C'!$B:$B,"平均")</f>
        <v>7</v>
      </c>
      <c r="M20" s="97">
        <f>SUMIFS('0521 4度C'!$AC:$AC,'0521 4度C'!$A:$A,"新豐4線",'0521 4度C'!$B:$B,"平均")</f>
        <v>8</v>
      </c>
    </row>
    <row r="21" spans="2:13" ht="17.25" customHeight="1">
      <c r="B21" s="506"/>
      <c r="C21" s="94" t="s">
        <v>174</v>
      </c>
      <c r="D21" s="95">
        <f>SUMIFS('0521 4度C'!$AD:$AD,'0521 4度C'!$A:$A,"新豐6線",'0521 4度C'!$B:$B,"平均")</f>
        <v>0</v>
      </c>
      <c r="E21" s="96">
        <f>SUMIFS('0521 4度C'!$AD:$AD,'0521 4度C'!$A:$A,"新豐2線",'0521 4度C'!$B:$B,"平均")</f>
        <v>0</v>
      </c>
      <c r="F21" s="96">
        <f>SUMIFS('0521 4度C'!$AD:$AD,'0521 4度C'!$A:$A,"新豐5線",'0521 4度C'!$B:$B,"平均")</f>
        <v>0</v>
      </c>
      <c r="G21" s="96">
        <f>SUMIFS('0521 4度C'!$AD:$AD,'0521 4度C'!$A:$A,"新豐7線",'0521 4度C'!$B:$B,"平均")</f>
        <v>0</v>
      </c>
      <c r="H21" s="96">
        <f>SUMIFS('0521 4度C'!$AD:$AD,'0521 4度C'!$A:$A,"新豐3線",'0521 4度C'!$B:$B,"平均")</f>
        <v>0</v>
      </c>
      <c r="I21" s="96">
        <f>SUMIFS('0521 4度C'!$AD:$AD,'0521 4度C'!$A:$A,"新豐1線",'0521 4度C'!$B:$B,"平均")</f>
        <v>0</v>
      </c>
      <c r="J21" s="97">
        <f>SUMIFS('0521 4度C'!$AD:$AD,'0521 4度C'!$A:$A,"新豐10線",'0521 4度C'!$B:$B,"平均")</f>
        <v>0</v>
      </c>
      <c r="K21" s="98">
        <f>SUMIFS('0521 4度C'!$AD:$AD,'0521 4度C'!$A:$A,"新豐8線",'0521 4度C'!$B:$B,"平均")</f>
        <v>0</v>
      </c>
      <c r="L21" s="96">
        <f>SUMIFS('0521 4度C'!$AD:$AD,'0521 4度C'!$A:$A,"新豐9線",'0521 4度C'!$B:$B,"平均")</f>
        <v>0</v>
      </c>
      <c r="M21" s="97">
        <f>SUMIFS('0521 4度C'!$AD:$AD,'0521 4度C'!$A:$A,"新豐4線",'0521 4度C'!$B:$B,"平均")</f>
        <v>0</v>
      </c>
    </row>
    <row r="22" spans="2:13" ht="17.25" customHeight="1">
      <c r="B22" s="507" t="s">
        <v>2089</v>
      </c>
      <c r="C22" s="508"/>
      <c r="D22" s="99">
        <f>SUMIFS('0521 4度C'!$I:$I,'0521 4度C'!$A:$A,"新豐6線",'0521 4度C'!$B:$B,"平均")</f>
        <v>15.666666666666666</v>
      </c>
      <c r="E22" s="100">
        <f>SUMIFS('0521 4度C'!$I:$I,'0521 4度C'!$A:$A,"新豐2線",'0521 4度C'!$B:$B,"平均")</f>
        <v>17.25</v>
      </c>
      <c r="F22" s="100">
        <f>SUMIFS('0521 4度C'!$I:$I,'0521 4度C'!$A:$A,"新豐5線",'0521 4度C'!$B:$B,"平均")</f>
        <v>17.75</v>
      </c>
      <c r="G22" s="100">
        <f>SUMIFS('0521 4度C'!$I:$I,'0521 4度C'!$A:$A,"新豐7線",'0521 4度C'!$B:$B,"平均")</f>
        <v>15.833333333333334</v>
      </c>
      <c r="H22" s="100">
        <f>SUMIFS('0521 4度C'!$I:$I,'0521 4度C'!$A:$A,"新豐3線",'0521 4度C'!$B:$B,"平均")</f>
        <v>10.75</v>
      </c>
      <c r="I22" s="100">
        <f>SUMIFS('0521 4度C'!$I:$I,'0521 4度C'!$A:$A,"新豐1線",'0521 4度C'!$B:$B,"平均")</f>
        <v>19.285714285714285</v>
      </c>
      <c r="J22" s="101">
        <f>SUMIFS('0521 4度C'!$I:$I,'0521 4度C'!$A:$A,"新豐10線",'0521 4度C'!$B:$B,"平均")</f>
        <v>9.4</v>
      </c>
      <c r="K22" s="99">
        <f>SUMIFS('0521 4度C'!$I:$I,'0521 4度C'!$A:$A,"新豐8線",'0521 4度C'!$B:$B,"平均")</f>
        <v>17.625</v>
      </c>
      <c r="L22" s="100">
        <f>SUMIFS('0521 4度C'!$I:$I,'0521 4度C'!$A:$A,"新豐9線",'0521 4度C'!$B:$B,"平均")</f>
        <v>17.428571428571427</v>
      </c>
      <c r="M22" s="101">
        <f>SUMIFS('0521 4度C'!$I:$I,'0521 4度C'!$A:$A,"新豐4線",'0521 4度C'!$B:$B,"平均")</f>
        <v>16</v>
      </c>
    </row>
    <row r="23" spans="2:13" ht="17.25" customHeight="1">
      <c r="B23" s="507" t="s">
        <v>2090</v>
      </c>
      <c r="C23" s="508"/>
      <c r="D23" s="102" t="s">
        <v>177</v>
      </c>
      <c r="E23" s="103" t="s">
        <v>178</v>
      </c>
      <c r="F23" s="103" t="s">
        <v>179</v>
      </c>
      <c r="G23" s="103" t="s">
        <v>2091</v>
      </c>
      <c r="H23" s="103" t="s">
        <v>180</v>
      </c>
      <c r="I23" s="103" t="s">
        <v>177</v>
      </c>
      <c r="J23" s="104" t="s">
        <v>180</v>
      </c>
      <c r="K23" s="102" t="s">
        <v>2092</v>
      </c>
      <c r="L23" s="103" t="s">
        <v>2092</v>
      </c>
      <c r="M23" s="104" t="s">
        <v>2092</v>
      </c>
    </row>
    <row r="24" spans="2:13" ht="17.25" customHeight="1">
      <c r="B24" s="507" t="s">
        <v>228</v>
      </c>
      <c r="C24" s="508"/>
      <c r="D24" s="102"/>
      <c r="E24" s="103"/>
      <c r="F24" s="103" t="s">
        <v>229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2093</v>
      </c>
      <c r="C25" s="510"/>
      <c r="D25" s="105"/>
      <c r="E25" s="106" t="s">
        <v>2094</v>
      </c>
      <c r="F25" s="503" t="s">
        <v>232</v>
      </c>
      <c r="G25" s="504"/>
      <c r="H25" s="106" t="s">
        <v>2095</v>
      </c>
      <c r="I25" s="106" t="s">
        <v>2096</v>
      </c>
      <c r="J25" s="107" t="s">
        <v>2095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23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1"/>
  <sheetViews>
    <sheetView zoomScale="80" zoomScaleNormal="80" workbookViewId="0">
      <pane ySplit="4" topLeftCell="A5" activePane="bottomLeft" state="frozen"/>
      <selection activeCell="E7" sqref="E7:F7"/>
      <selection pane="bottomLeft" activeCell="E7" sqref="E7:F7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2097</v>
      </c>
      <c r="B1" s="1"/>
      <c r="C1" s="2" t="s">
        <v>2098</v>
      </c>
      <c r="D1" s="3">
        <f>SUM(F5:F70)</f>
        <v>165003</v>
      </c>
      <c r="E1" s="359" t="s">
        <v>2099</v>
      </c>
      <c r="F1" s="1">
        <f>SUM(G5:G70)</f>
        <v>5460794.9000000004</v>
      </c>
      <c r="G1" s="1" t="s">
        <v>2100</v>
      </c>
      <c r="H1" s="5">
        <f>L8+L13+L47+L55+L18+L61+L34+L42+L25+L70</f>
        <v>156.98928571428573</v>
      </c>
      <c r="I1" s="617" t="s">
        <v>2101</v>
      </c>
      <c r="J1" s="617"/>
      <c r="K1" s="617"/>
      <c r="L1" s="617" t="s">
        <v>2102</v>
      </c>
      <c r="M1" s="617"/>
      <c r="N1" s="617"/>
      <c r="O1" s="617" t="s">
        <v>2103</v>
      </c>
      <c r="P1" s="617"/>
      <c r="Q1" s="617"/>
      <c r="R1" s="617"/>
      <c r="S1" s="617" t="s">
        <v>2104</v>
      </c>
      <c r="T1" s="617"/>
      <c r="U1" s="617"/>
      <c r="V1" s="617"/>
      <c r="W1" s="617"/>
      <c r="X1" s="617"/>
      <c r="Y1" s="6" t="s">
        <v>2105</v>
      </c>
      <c r="Z1" s="7" t="s">
        <v>2106</v>
      </c>
      <c r="AA1" s="618" t="s">
        <v>2107</v>
      </c>
      <c r="AB1" s="618"/>
      <c r="AC1" s="8" t="s">
        <v>2105</v>
      </c>
      <c r="AD1" s="7" t="s">
        <v>2108</v>
      </c>
      <c r="AE1" s="617" t="s">
        <v>2109</v>
      </c>
      <c r="AF1" s="619"/>
      <c r="AG1" s="619"/>
    </row>
    <row r="2" spans="1:33" ht="26.25" customHeight="1">
      <c r="A2" s="37">
        <v>46163</v>
      </c>
      <c r="B2" s="38" t="s">
        <v>685</v>
      </c>
      <c r="C2" s="2" t="s">
        <v>2080</v>
      </c>
      <c r="D2" s="10">
        <f>AVERAGE(N8,N13,N47,N55,N18,N61,N25,N34,N42,N70)</f>
        <v>145.8749359320903</v>
      </c>
      <c r="E2" s="11" t="s">
        <v>14</v>
      </c>
      <c r="F2" s="12">
        <f>F1/D1</f>
        <v>33.095124937122357</v>
      </c>
      <c r="G2" s="1" t="s">
        <v>2110</v>
      </c>
      <c r="H2" s="363">
        <f>COUNT(H5:H70)</f>
        <v>9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SUM(Y8+Y13+Y18+Y25+Y34+Y42+Y47+Y55+Y61+Y70)</f>
        <v>0</v>
      </c>
      <c r="Z2" s="14">
        <f>SUM(Z8+Z13+Z18+Z25+Z34+Z42+Z47+Z55+Z61+Z70)</f>
        <v>0</v>
      </c>
      <c r="AA2" s="618"/>
      <c r="AB2" s="618"/>
      <c r="AC2" s="14">
        <f>SUM(AC8+AC13+AC18+AC25+AC34+AC42+AC47+AC55+AC61+AC70)</f>
        <v>56</v>
      </c>
      <c r="AD2" s="14">
        <f>SUM(AD8+AD13+AD18+AD25+AD34+AD42+AD47+AD55+AD61+AD70)</f>
        <v>0</v>
      </c>
      <c r="AE2" s="619"/>
      <c r="AF2" s="619"/>
      <c r="AG2" s="619"/>
    </row>
    <row r="3" spans="1:33" ht="40.5" customHeight="1">
      <c r="A3" s="575" t="s">
        <v>2111</v>
      </c>
      <c r="B3" s="575" t="s">
        <v>2112</v>
      </c>
      <c r="C3" s="575" t="s">
        <v>2113</v>
      </c>
      <c r="D3" s="575"/>
      <c r="E3" s="615" t="s">
        <v>2114</v>
      </c>
      <c r="F3" s="575" t="s">
        <v>2115</v>
      </c>
      <c r="G3" s="615" t="s">
        <v>2116</v>
      </c>
      <c r="H3" s="608" t="s">
        <v>2117</v>
      </c>
      <c r="I3" s="606" t="s">
        <v>2118</v>
      </c>
      <c r="J3" s="603" t="s">
        <v>2119</v>
      </c>
      <c r="K3" s="613" t="s">
        <v>2080</v>
      </c>
      <c r="L3" s="606" t="s">
        <v>2118</v>
      </c>
      <c r="M3" s="603" t="s">
        <v>2119</v>
      </c>
      <c r="N3" s="613" t="s">
        <v>2080</v>
      </c>
      <c r="O3" s="606" t="s">
        <v>2118</v>
      </c>
      <c r="P3" s="613" t="s">
        <v>2080</v>
      </c>
      <c r="Q3" s="604" t="s">
        <v>2120</v>
      </c>
      <c r="R3" s="582" t="s">
        <v>2121</v>
      </c>
      <c r="S3" s="575" t="s">
        <v>28</v>
      </c>
      <c r="T3" s="575"/>
      <c r="U3" s="608" t="s">
        <v>29</v>
      </c>
      <c r="V3" s="608" t="s">
        <v>2122</v>
      </c>
      <c r="W3" s="575" t="s">
        <v>2123</v>
      </c>
      <c r="X3" s="575"/>
      <c r="Y3" s="609" t="s">
        <v>2124</v>
      </c>
      <c r="Z3" s="572"/>
      <c r="AA3" s="610" t="s">
        <v>2125</v>
      </c>
      <c r="AB3" s="611"/>
      <c r="AC3" s="609" t="s">
        <v>2126</v>
      </c>
      <c r="AD3" s="572"/>
      <c r="AE3" s="603" t="s">
        <v>2119</v>
      </c>
      <c r="AF3" s="604" t="s">
        <v>2120</v>
      </c>
      <c r="AG3" s="582" t="s">
        <v>2121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359" t="s">
        <v>36</v>
      </c>
      <c r="T4" s="359" t="s">
        <v>37</v>
      </c>
      <c r="U4" s="608"/>
      <c r="V4" s="608"/>
      <c r="W4" s="359" t="s">
        <v>2127</v>
      </c>
      <c r="X4" s="359" t="s">
        <v>2128</v>
      </c>
      <c r="Y4" s="357" t="s">
        <v>2086</v>
      </c>
      <c r="Z4" s="357" t="s">
        <v>2129</v>
      </c>
      <c r="AA4" s="612"/>
      <c r="AB4" s="611"/>
      <c r="AC4" s="357" t="s">
        <v>2130</v>
      </c>
      <c r="AD4" s="357" t="s">
        <v>2131</v>
      </c>
      <c r="AE4" s="603"/>
      <c r="AF4" s="604"/>
      <c r="AG4" s="582"/>
    </row>
    <row r="5" spans="1:33">
      <c r="A5" s="605" t="s">
        <v>2132</v>
      </c>
      <c r="B5" s="39" t="s">
        <v>74</v>
      </c>
      <c r="C5" s="607" t="s">
        <v>75</v>
      </c>
      <c r="D5" s="607"/>
      <c r="E5" s="39">
        <v>50.67</v>
      </c>
      <c r="F5" s="364">
        <v>1086</v>
      </c>
      <c r="G5" s="359">
        <f t="shared" ref="G5:G7" si="0">E5*F5</f>
        <v>55027.62</v>
      </c>
      <c r="H5" s="48" t="s">
        <v>126</v>
      </c>
      <c r="I5" s="361">
        <v>17</v>
      </c>
      <c r="J5" s="43">
        <v>2000</v>
      </c>
      <c r="K5" s="18">
        <f t="shared" ref="K5:K68" si="1">J5/I5</f>
        <v>117.64705882352941</v>
      </c>
      <c r="L5" s="361">
        <v>17</v>
      </c>
      <c r="M5" s="19">
        <f t="shared" ref="M5:M7" si="2">F5/V5*60</f>
        <v>1916.4705882352919</v>
      </c>
      <c r="N5" s="18">
        <f t="shared" ref="N5:N68" si="3">M5/L5</f>
        <v>112.73356401384069</v>
      </c>
      <c r="O5" s="20">
        <f t="shared" ref="O5:O68" si="4">L5-I5</f>
        <v>0</v>
      </c>
      <c r="P5" s="21">
        <f t="shared" ref="P5:P68" si="5">N5-K5</f>
        <v>-4.9134948096887143</v>
      </c>
      <c r="Q5" s="358">
        <f t="shared" ref="Q5:Q68" si="6">N5/K5</f>
        <v>0.95823529411764596</v>
      </c>
      <c r="R5" s="573">
        <f>Q8</f>
        <v>0.96082202111613824</v>
      </c>
      <c r="S5" s="49">
        <v>0.70833333333333337</v>
      </c>
      <c r="T5" s="49">
        <v>0.73194444444444451</v>
      </c>
      <c r="U5" s="359"/>
      <c r="V5" s="362">
        <f t="shared" ref="V5:V7" si="7">(T5-S5)*24*60</f>
        <v>34.000000000000043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54" si="8">M5-J5</f>
        <v>-83.529411764708129</v>
      </c>
      <c r="AF5" s="358">
        <f t="shared" ref="AF5:AF68" si="9">M5/J5</f>
        <v>0.95823529411764596</v>
      </c>
      <c r="AG5" s="573">
        <f>AF8</f>
        <v>0.96082202111613835</v>
      </c>
    </row>
    <row r="6" spans="1:33">
      <c r="A6" s="606" t="s">
        <v>2133</v>
      </c>
      <c r="B6" s="39" t="s">
        <v>74</v>
      </c>
      <c r="C6" s="607" t="s">
        <v>77</v>
      </c>
      <c r="D6" s="607"/>
      <c r="E6" s="39">
        <v>50.67</v>
      </c>
      <c r="F6" s="364">
        <v>1155</v>
      </c>
      <c r="G6" s="359">
        <f t="shared" si="0"/>
        <v>58523.85</v>
      </c>
      <c r="H6" s="48" t="s">
        <v>126</v>
      </c>
      <c r="I6" s="361">
        <v>15</v>
      </c>
      <c r="J6" s="43">
        <v>2000</v>
      </c>
      <c r="K6" s="18">
        <f t="shared" si="1"/>
        <v>133.33333333333334</v>
      </c>
      <c r="L6" s="361">
        <v>15</v>
      </c>
      <c r="M6" s="19">
        <f t="shared" si="2"/>
        <v>1924.9999999999984</v>
      </c>
      <c r="N6" s="18">
        <f t="shared" si="3"/>
        <v>128.33333333333323</v>
      </c>
      <c r="O6" s="20">
        <f t="shared" si="4"/>
        <v>0</v>
      </c>
      <c r="P6" s="21">
        <f t="shared" si="5"/>
        <v>-5.0000000000001137</v>
      </c>
      <c r="Q6" s="358">
        <f t="shared" si="6"/>
        <v>0.96249999999999913</v>
      </c>
      <c r="R6" s="573"/>
      <c r="S6" s="49">
        <v>0.73750000000000004</v>
      </c>
      <c r="T6" s="49">
        <v>0.76250000000000007</v>
      </c>
      <c r="U6" s="359">
        <f t="shared" ref="U6:U7" si="10">IF(S6=TIME(17,0,0),"",(S6-T5)*24*60)</f>
        <v>7.9999999999999716</v>
      </c>
      <c r="V6" s="362">
        <f t="shared" si="7"/>
        <v>36.000000000000028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-75.000000000001592</v>
      </c>
      <c r="AF6" s="358">
        <f t="shared" si="9"/>
        <v>0.96249999999999925</v>
      </c>
      <c r="AG6" s="573"/>
    </row>
    <row r="7" spans="1:33">
      <c r="A7" s="606" t="s">
        <v>2132</v>
      </c>
      <c r="B7" s="39" t="s">
        <v>74</v>
      </c>
      <c r="C7" s="598" t="s">
        <v>86</v>
      </c>
      <c r="D7" s="599"/>
      <c r="E7" s="39">
        <v>50.92</v>
      </c>
      <c r="F7" s="364">
        <v>1667</v>
      </c>
      <c r="G7" s="359">
        <f t="shared" si="0"/>
        <v>84883.64</v>
      </c>
      <c r="H7" s="48" t="s">
        <v>126</v>
      </c>
      <c r="I7" s="361">
        <v>15</v>
      </c>
      <c r="J7" s="43">
        <v>2000</v>
      </c>
      <c r="K7" s="18">
        <f t="shared" si="1"/>
        <v>133.33333333333334</v>
      </c>
      <c r="L7" s="361">
        <v>15</v>
      </c>
      <c r="M7" s="19">
        <f t="shared" si="2"/>
        <v>1923.4615384615397</v>
      </c>
      <c r="N7" s="18">
        <f t="shared" si="3"/>
        <v>128.23076923076931</v>
      </c>
      <c r="O7" s="20">
        <f t="shared" si="4"/>
        <v>0</v>
      </c>
      <c r="P7" s="21">
        <f t="shared" si="5"/>
        <v>-5.1025641025640311</v>
      </c>
      <c r="Q7" s="358">
        <f t="shared" si="6"/>
        <v>0.96173076923076972</v>
      </c>
      <c r="R7" s="573"/>
      <c r="S7" s="49">
        <v>0.76597222222222228</v>
      </c>
      <c r="T7" s="49">
        <v>0.80208333333333337</v>
      </c>
      <c r="U7" s="359">
        <f t="shared" si="10"/>
        <v>4.9999999999999822</v>
      </c>
      <c r="V7" s="362">
        <f t="shared" si="7"/>
        <v>51.999999999999972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-76.538461538460297</v>
      </c>
      <c r="AF7" s="358">
        <f t="shared" si="9"/>
        <v>0.96173076923076983</v>
      </c>
      <c r="AG7" s="573"/>
    </row>
    <row r="8" spans="1:33">
      <c r="A8" s="606" t="s">
        <v>2132</v>
      </c>
      <c r="B8" s="39" t="s">
        <v>2134</v>
      </c>
      <c r="C8" s="576"/>
      <c r="D8" s="576"/>
      <c r="E8" s="360"/>
      <c r="F8" s="42"/>
      <c r="G8" s="18"/>
      <c r="H8" s="364"/>
      <c r="I8" s="32">
        <v>15.666666666666666</v>
      </c>
      <c r="J8" s="43">
        <v>2000</v>
      </c>
      <c r="K8" s="18">
        <f t="shared" si="1"/>
        <v>127.65957446808511</v>
      </c>
      <c r="L8" s="32">
        <v>15.666666666666666</v>
      </c>
      <c r="M8" s="19">
        <f>AVERAGE(M5:M7)</f>
        <v>1921.6440422322767</v>
      </c>
      <c r="N8" s="18">
        <f t="shared" si="3"/>
        <v>122.6581303552517</v>
      </c>
      <c r="O8" s="20">
        <f t="shared" si="4"/>
        <v>0</v>
      </c>
      <c r="P8" s="21">
        <f t="shared" si="5"/>
        <v>-5.0014441128334113</v>
      </c>
      <c r="Q8" s="358">
        <f t="shared" si="6"/>
        <v>0.96082202111613824</v>
      </c>
      <c r="R8" s="573"/>
      <c r="S8" s="49"/>
      <c r="T8" s="49"/>
      <c r="U8" s="359"/>
      <c r="V8" s="362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-78.355957767723339</v>
      </c>
      <c r="AF8" s="358">
        <f t="shared" si="9"/>
        <v>0.96082202111613835</v>
      </c>
      <c r="AG8" s="573"/>
    </row>
    <row r="9" spans="1:33" ht="15.75" customHeight="1">
      <c r="A9" s="602" t="s">
        <v>2135</v>
      </c>
      <c r="B9" s="39" t="s">
        <v>79</v>
      </c>
      <c r="C9" s="598" t="s">
        <v>80</v>
      </c>
      <c r="D9" s="599"/>
      <c r="E9" s="39">
        <v>39.619999999999997</v>
      </c>
      <c r="F9" s="364">
        <v>4565</v>
      </c>
      <c r="G9" s="359">
        <f t="shared" ref="G9:G12" si="11">E9*F9</f>
        <v>180865.3</v>
      </c>
      <c r="H9" s="48" t="s">
        <v>126</v>
      </c>
      <c r="I9" s="361">
        <v>19</v>
      </c>
      <c r="J9" s="43">
        <v>1500</v>
      </c>
      <c r="K9" s="18">
        <f t="shared" si="1"/>
        <v>78.94736842105263</v>
      </c>
      <c r="L9" s="361">
        <v>19</v>
      </c>
      <c r="M9" s="19">
        <f t="shared" ref="M9:M12" si="12">F9/V9*60</f>
        <v>1426.5624999999998</v>
      </c>
      <c r="N9" s="18">
        <f t="shared" si="3"/>
        <v>75.082236842105246</v>
      </c>
      <c r="O9" s="20">
        <f t="shared" si="4"/>
        <v>0</v>
      </c>
      <c r="P9" s="21">
        <f t="shared" si="5"/>
        <v>-3.8651315789473841</v>
      </c>
      <c r="Q9" s="358">
        <f t="shared" si="6"/>
        <v>0.95104166666666645</v>
      </c>
      <c r="R9" s="573">
        <f>Q13</f>
        <v>0.95309977565671922</v>
      </c>
      <c r="S9" s="49">
        <v>8.3333333333333329E-2</v>
      </c>
      <c r="T9" s="49">
        <v>0.21666666666666667</v>
      </c>
      <c r="U9" s="359"/>
      <c r="V9" s="362">
        <f t="shared" ref="V9:V12" si="13">(T9-S9)*24*60</f>
        <v>192.00000000000003</v>
      </c>
      <c r="W9" s="25">
        <f>T9</f>
        <v>0.21666666666666667</v>
      </c>
      <c r="X9" s="25">
        <f>S10</f>
        <v>0.23472222222222222</v>
      </c>
      <c r="Y9" s="25"/>
      <c r="Z9" s="25"/>
      <c r="AA9" s="575"/>
      <c r="AB9" s="575"/>
      <c r="AC9" s="50">
        <v>4</v>
      </c>
      <c r="AD9" s="27"/>
      <c r="AE9" s="20">
        <f t="shared" si="8"/>
        <v>-73.437500000000227</v>
      </c>
      <c r="AF9" s="358">
        <f t="shared" si="9"/>
        <v>0.95104166666666656</v>
      </c>
      <c r="AG9" s="573">
        <f>AF13</f>
        <v>0.95309977565671933</v>
      </c>
    </row>
    <row r="10" spans="1:33" ht="15.75" customHeight="1">
      <c r="A10" s="602" t="s">
        <v>2135</v>
      </c>
      <c r="B10" s="39" t="s">
        <v>79</v>
      </c>
      <c r="C10" s="598" t="s">
        <v>81</v>
      </c>
      <c r="D10" s="599"/>
      <c r="E10" s="39">
        <v>39.799999999999997</v>
      </c>
      <c r="F10" s="364">
        <v>3700</v>
      </c>
      <c r="G10" s="359">
        <f t="shared" si="11"/>
        <v>147260</v>
      </c>
      <c r="H10" s="48">
        <v>2</v>
      </c>
      <c r="I10" s="361">
        <v>17</v>
      </c>
      <c r="J10" s="43">
        <v>1500</v>
      </c>
      <c r="K10" s="18">
        <f t="shared" si="1"/>
        <v>88.235294117647058</v>
      </c>
      <c r="L10" s="361">
        <v>17</v>
      </c>
      <c r="M10" s="19">
        <f t="shared" si="12"/>
        <v>1432.258064516129</v>
      </c>
      <c r="N10" s="18">
        <f t="shared" si="3"/>
        <v>84.250474383301707</v>
      </c>
      <c r="O10" s="20">
        <f t="shared" si="4"/>
        <v>0</v>
      </c>
      <c r="P10" s="21">
        <f t="shared" si="5"/>
        <v>-3.9848197343453506</v>
      </c>
      <c r="Q10" s="358">
        <f t="shared" si="6"/>
        <v>0.95483870967741935</v>
      </c>
      <c r="R10" s="573"/>
      <c r="S10" s="49">
        <v>0.23472222222222222</v>
      </c>
      <c r="T10" s="49">
        <v>0.34236111111111112</v>
      </c>
      <c r="U10" s="359">
        <f t="shared" ref="U10:U12" si="14">IF(S10=TIME(17,0,0),"",(S10-T9)*24*60)</f>
        <v>25.999999999999986</v>
      </c>
      <c r="V10" s="362">
        <f t="shared" si="13"/>
        <v>155</v>
      </c>
      <c r="W10" s="25"/>
      <c r="X10" s="25"/>
      <c r="Y10" s="25"/>
      <c r="Z10" s="25"/>
      <c r="AA10" s="575"/>
      <c r="AB10" s="575"/>
      <c r="AC10" s="50"/>
      <c r="AD10" s="27"/>
      <c r="AE10" s="20">
        <f t="shared" si="8"/>
        <v>-67.741935483870975</v>
      </c>
      <c r="AF10" s="358">
        <f t="shared" si="9"/>
        <v>0.95483870967741935</v>
      </c>
      <c r="AG10" s="573"/>
    </row>
    <row r="11" spans="1:33" ht="15.75" customHeight="1">
      <c r="A11" s="602" t="s">
        <v>2135</v>
      </c>
      <c r="B11" s="39" t="s">
        <v>79</v>
      </c>
      <c r="C11" s="598" t="s">
        <v>1953</v>
      </c>
      <c r="D11" s="599"/>
      <c r="E11" s="39">
        <v>39.46</v>
      </c>
      <c r="F11" s="364">
        <v>4987</v>
      </c>
      <c r="G11" s="359">
        <f t="shared" si="11"/>
        <v>196787.02000000002</v>
      </c>
      <c r="H11" s="48" t="s">
        <v>126</v>
      </c>
      <c r="I11" s="361">
        <v>16</v>
      </c>
      <c r="J11" s="43">
        <v>1500</v>
      </c>
      <c r="K11" s="18">
        <f t="shared" si="1"/>
        <v>93.75</v>
      </c>
      <c r="L11" s="361">
        <v>16</v>
      </c>
      <c r="M11" s="19">
        <f t="shared" si="12"/>
        <v>1431.674641148325</v>
      </c>
      <c r="N11" s="18">
        <f t="shared" si="3"/>
        <v>89.479665071770313</v>
      </c>
      <c r="O11" s="20">
        <f t="shared" si="4"/>
        <v>0</v>
      </c>
      <c r="P11" s="21">
        <f t="shared" si="5"/>
        <v>-4.270334928229687</v>
      </c>
      <c r="Q11" s="358">
        <f t="shared" si="6"/>
        <v>0.95444976076554999</v>
      </c>
      <c r="R11" s="573"/>
      <c r="S11" s="49">
        <v>0.34583333333333333</v>
      </c>
      <c r="T11" s="49">
        <v>0.49097222222222225</v>
      </c>
      <c r="U11" s="359">
        <f t="shared" si="14"/>
        <v>4.9999999999999822</v>
      </c>
      <c r="V11" s="362">
        <f t="shared" si="13"/>
        <v>209.00000000000006</v>
      </c>
      <c r="W11" s="25">
        <f>T11</f>
        <v>0.49097222222222225</v>
      </c>
      <c r="X11" s="25">
        <f>S12</f>
        <v>0.53263888888888888</v>
      </c>
      <c r="Y11" s="25"/>
      <c r="Z11" s="25"/>
      <c r="AA11" s="575"/>
      <c r="AB11" s="575"/>
      <c r="AC11" s="50"/>
      <c r="AD11" s="27"/>
      <c r="AE11" s="20">
        <f t="shared" si="8"/>
        <v>-68.325358851674991</v>
      </c>
      <c r="AF11" s="358">
        <f t="shared" si="9"/>
        <v>0.95444976076554999</v>
      </c>
      <c r="AG11" s="573"/>
    </row>
    <row r="12" spans="1:33" ht="15.75" customHeight="1">
      <c r="A12" s="602" t="s">
        <v>2135</v>
      </c>
      <c r="B12" s="39" t="s">
        <v>79</v>
      </c>
      <c r="C12" s="598" t="s">
        <v>81</v>
      </c>
      <c r="D12" s="599"/>
      <c r="E12" s="39">
        <v>39.799999999999997</v>
      </c>
      <c r="F12" s="364">
        <v>2761</v>
      </c>
      <c r="G12" s="359">
        <f t="shared" si="11"/>
        <v>109887.79999999999</v>
      </c>
      <c r="H12" s="48" t="s">
        <v>126</v>
      </c>
      <c r="I12" s="361">
        <v>17</v>
      </c>
      <c r="J12" s="43">
        <v>1500</v>
      </c>
      <c r="K12" s="18">
        <f t="shared" si="1"/>
        <v>88.235294117647058</v>
      </c>
      <c r="L12" s="361">
        <v>17</v>
      </c>
      <c r="M12" s="19">
        <f t="shared" si="12"/>
        <v>1428.1034482758612</v>
      </c>
      <c r="N12" s="18">
        <f t="shared" si="3"/>
        <v>84.006085192697711</v>
      </c>
      <c r="O12" s="20">
        <f t="shared" si="4"/>
        <v>0</v>
      </c>
      <c r="P12" s="21">
        <f t="shared" si="5"/>
        <v>-4.2292089249493472</v>
      </c>
      <c r="Q12" s="358">
        <f t="shared" si="6"/>
        <v>0.95206896551724074</v>
      </c>
      <c r="R12" s="573"/>
      <c r="S12" s="49">
        <v>0.53263888888888888</v>
      </c>
      <c r="T12" s="49">
        <v>0.61319444444444449</v>
      </c>
      <c r="U12" s="359">
        <f t="shared" si="14"/>
        <v>59.999999999999943</v>
      </c>
      <c r="V12" s="362">
        <f t="shared" si="13"/>
        <v>116.00000000000007</v>
      </c>
      <c r="W12" s="25"/>
      <c r="X12" s="25"/>
      <c r="Y12" s="25"/>
      <c r="Z12" s="25"/>
      <c r="AA12" s="568"/>
      <c r="AB12" s="569"/>
      <c r="AC12" s="50"/>
      <c r="AD12" s="27"/>
      <c r="AE12" s="20">
        <f t="shared" si="8"/>
        <v>-71.896551724138817</v>
      </c>
      <c r="AF12" s="358">
        <f t="shared" si="9"/>
        <v>0.95206896551724074</v>
      </c>
      <c r="AG12" s="573"/>
    </row>
    <row r="13" spans="1:33" ht="16.5" customHeight="1">
      <c r="A13" s="602" t="s">
        <v>2135</v>
      </c>
      <c r="B13" s="39" t="s">
        <v>2134</v>
      </c>
      <c r="C13" s="576"/>
      <c r="D13" s="576"/>
      <c r="E13" s="360"/>
      <c r="F13" s="43"/>
      <c r="G13" s="19"/>
      <c r="H13" s="364"/>
      <c r="I13" s="32">
        <v>17.25</v>
      </c>
      <c r="J13" s="43">
        <v>1500</v>
      </c>
      <c r="K13" s="18">
        <f t="shared" si="1"/>
        <v>86.956521739130437</v>
      </c>
      <c r="L13" s="32">
        <v>17.25</v>
      </c>
      <c r="M13" s="19">
        <f>AVERAGE(M9:M12)</f>
        <v>1429.6496634850789</v>
      </c>
      <c r="N13" s="18">
        <f t="shared" si="3"/>
        <v>82.878241361453846</v>
      </c>
      <c r="O13" s="20">
        <f t="shared" si="4"/>
        <v>0</v>
      </c>
      <c r="P13" s="21">
        <f t="shared" si="5"/>
        <v>-4.0782803776765917</v>
      </c>
      <c r="Q13" s="358">
        <f t="shared" si="6"/>
        <v>0.95309977565671922</v>
      </c>
      <c r="R13" s="573"/>
      <c r="S13" s="49"/>
      <c r="T13" s="49"/>
      <c r="U13" s="18"/>
      <c r="V13" s="362"/>
      <c r="W13" s="18"/>
      <c r="X13" s="18"/>
      <c r="Y13" s="33">
        <f>SUM(Y9:Y12)</f>
        <v>0</v>
      </c>
      <c r="Z13" s="33">
        <f>SUM(Z9:Z12)</f>
        <v>0</v>
      </c>
      <c r="AA13" s="572"/>
      <c r="AB13" s="572"/>
      <c r="AC13" s="33">
        <v>4</v>
      </c>
      <c r="AD13" s="33">
        <f>SUM(AD9:AD12)</f>
        <v>0</v>
      </c>
      <c r="AE13" s="20">
        <f t="shared" si="8"/>
        <v>-70.350336514921082</v>
      </c>
      <c r="AF13" s="358">
        <f t="shared" si="9"/>
        <v>0.95309977565671933</v>
      </c>
      <c r="AG13" s="573"/>
    </row>
    <row r="14" spans="1:33" ht="16.5" customHeight="1">
      <c r="A14" s="600" t="s">
        <v>2136</v>
      </c>
      <c r="B14" s="364" t="s">
        <v>82</v>
      </c>
      <c r="C14" s="594" t="s">
        <v>83</v>
      </c>
      <c r="D14" s="594"/>
      <c r="E14" s="39">
        <v>41</v>
      </c>
      <c r="F14" s="364">
        <v>1685</v>
      </c>
      <c r="G14" s="359">
        <f t="shared" ref="G14:G17" si="15">E14*F14</f>
        <v>69085</v>
      </c>
      <c r="H14" s="48" t="s">
        <v>126</v>
      </c>
      <c r="I14" s="361">
        <v>26</v>
      </c>
      <c r="J14" s="43">
        <v>1500</v>
      </c>
      <c r="K14" s="18">
        <f t="shared" si="1"/>
        <v>57.692307692307693</v>
      </c>
      <c r="L14" s="361">
        <v>26</v>
      </c>
      <c r="M14" s="19">
        <f t="shared" ref="M14:M17" si="16">F14/V14*60</f>
        <v>1444.2857142857138</v>
      </c>
      <c r="N14" s="18">
        <f t="shared" si="3"/>
        <v>55.549450549450526</v>
      </c>
      <c r="O14" s="20">
        <f t="shared" si="4"/>
        <v>0</v>
      </c>
      <c r="P14" s="21">
        <f t="shared" si="5"/>
        <v>-2.1428571428571672</v>
      </c>
      <c r="Q14" s="358">
        <f t="shared" si="6"/>
        <v>0.96285714285714241</v>
      </c>
      <c r="R14" s="573">
        <f>Q18</f>
        <v>0.96035301868907585</v>
      </c>
      <c r="S14" s="49">
        <v>0.20833333333333334</v>
      </c>
      <c r="T14" s="49">
        <v>0.25694444444444448</v>
      </c>
      <c r="U14" s="359"/>
      <c r="V14" s="362">
        <f t="shared" ref="V14:V17" si="17">(T14-S14)*24*60</f>
        <v>70.000000000000028</v>
      </c>
      <c r="W14" s="30"/>
      <c r="X14" s="30"/>
      <c r="Y14" s="30"/>
      <c r="Z14" s="30"/>
      <c r="AA14" s="575"/>
      <c r="AB14" s="575"/>
      <c r="AC14" s="50">
        <v>4</v>
      </c>
      <c r="AD14" s="27"/>
      <c r="AE14" s="20">
        <f t="shared" si="8"/>
        <v>-55.714285714286234</v>
      </c>
      <c r="AF14" s="358">
        <f t="shared" si="9"/>
        <v>0.96285714285714252</v>
      </c>
      <c r="AG14" s="573">
        <f>AF18</f>
        <v>0.96035301868907574</v>
      </c>
    </row>
    <row r="15" spans="1:33" ht="16.5" customHeight="1">
      <c r="A15" s="601" t="s">
        <v>2137</v>
      </c>
      <c r="B15" s="364" t="s">
        <v>74</v>
      </c>
      <c r="C15" s="594" t="s">
        <v>85</v>
      </c>
      <c r="D15" s="594"/>
      <c r="E15" s="39">
        <v>53.68</v>
      </c>
      <c r="F15" s="364">
        <v>905</v>
      </c>
      <c r="G15" s="359">
        <f t="shared" si="15"/>
        <v>48580.4</v>
      </c>
      <c r="H15" s="48" t="s">
        <v>126</v>
      </c>
      <c r="I15" s="361">
        <v>16</v>
      </c>
      <c r="J15" s="43">
        <v>1500</v>
      </c>
      <c r="K15" s="18">
        <f t="shared" si="1"/>
        <v>93.75</v>
      </c>
      <c r="L15" s="361">
        <v>16</v>
      </c>
      <c r="M15" s="19">
        <f t="shared" si="16"/>
        <v>1467.5675675675666</v>
      </c>
      <c r="N15" s="18">
        <f t="shared" si="3"/>
        <v>91.722972972972912</v>
      </c>
      <c r="O15" s="20">
        <f t="shared" si="4"/>
        <v>0</v>
      </c>
      <c r="P15" s="21">
        <f t="shared" si="5"/>
        <v>-2.0270270270270885</v>
      </c>
      <c r="Q15" s="358">
        <f t="shared" si="6"/>
        <v>0.97837837837837771</v>
      </c>
      <c r="R15" s="573"/>
      <c r="S15" s="49">
        <v>0.70833333333333337</v>
      </c>
      <c r="T15" s="49">
        <v>0.73402777777777783</v>
      </c>
      <c r="U15" s="359" t="str">
        <f t="shared" ref="U15:U17" si="18">IF(S15=TIME(17,0,0),"",(S15-T14)*24*60)</f>
        <v/>
      </c>
      <c r="V15" s="362">
        <f t="shared" si="17"/>
        <v>37.000000000000028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-32.432432432433416</v>
      </c>
      <c r="AF15" s="358">
        <f t="shared" si="9"/>
        <v>0.97837837837837771</v>
      </c>
      <c r="AG15" s="573"/>
    </row>
    <row r="16" spans="1:33" ht="16.5" customHeight="1">
      <c r="A16" s="601" t="s">
        <v>2136</v>
      </c>
      <c r="B16" s="364" t="s">
        <v>74</v>
      </c>
      <c r="C16" s="594" t="s">
        <v>78</v>
      </c>
      <c r="D16" s="594"/>
      <c r="E16" s="39">
        <v>52.86</v>
      </c>
      <c r="F16" s="364">
        <v>1204</v>
      </c>
      <c r="G16" s="359">
        <f t="shared" si="15"/>
        <v>63643.44</v>
      </c>
      <c r="H16" s="48" t="s">
        <v>126</v>
      </c>
      <c r="I16" s="361">
        <v>16</v>
      </c>
      <c r="J16" s="43">
        <v>2000</v>
      </c>
      <c r="K16" s="18">
        <f t="shared" si="1"/>
        <v>125</v>
      </c>
      <c r="L16" s="361">
        <v>16</v>
      </c>
      <c r="M16" s="19">
        <f t="shared" si="16"/>
        <v>1901.0526315789459</v>
      </c>
      <c r="N16" s="18">
        <f t="shared" si="3"/>
        <v>118.81578947368412</v>
      </c>
      <c r="O16" s="20">
        <f t="shared" si="4"/>
        <v>0</v>
      </c>
      <c r="P16" s="21">
        <f t="shared" si="5"/>
        <v>-6.18421052631588</v>
      </c>
      <c r="Q16" s="358">
        <f t="shared" si="6"/>
        <v>0.950526315789473</v>
      </c>
      <c r="R16" s="573"/>
      <c r="S16" s="49">
        <v>0.73888888888888893</v>
      </c>
      <c r="T16" s="49">
        <v>0.76527777777777783</v>
      </c>
      <c r="U16" s="359">
        <f t="shared" si="18"/>
        <v>6.9999999999999751</v>
      </c>
      <c r="V16" s="362">
        <f t="shared" si="17"/>
        <v>38.000000000000028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-98.94736842105408</v>
      </c>
      <c r="AF16" s="358">
        <f t="shared" si="9"/>
        <v>0.950526315789473</v>
      </c>
      <c r="AG16" s="573"/>
    </row>
    <row r="17" spans="1:33" ht="16.5" customHeight="1">
      <c r="A17" s="601" t="s">
        <v>2137</v>
      </c>
      <c r="B17" s="364" t="s">
        <v>74</v>
      </c>
      <c r="C17" s="594" t="s">
        <v>1826</v>
      </c>
      <c r="D17" s="594"/>
      <c r="E17" s="39">
        <v>51.06</v>
      </c>
      <c r="F17" s="364">
        <v>2928</v>
      </c>
      <c r="G17" s="359">
        <f t="shared" si="15"/>
        <v>149503.67999999999</v>
      </c>
      <c r="H17" s="48" t="s">
        <v>126</v>
      </c>
      <c r="I17" s="361">
        <v>13</v>
      </c>
      <c r="J17" s="43">
        <v>2000</v>
      </c>
      <c r="K17" s="18">
        <f t="shared" si="1"/>
        <v>153.84615384615384</v>
      </c>
      <c r="L17" s="361">
        <v>13</v>
      </c>
      <c r="M17" s="19">
        <f t="shared" si="16"/>
        <v>1909.5652173913043</v>
      </c>
      <c r="N17" s="18">
        <f t="shared" si="3"/>
        <v>146.8896321070234</v>
      </c>
      <c r="O17" s="20">
        <f t="shared" si="4"/>
        <v>0</v>
      </c>
      <c r="P17" s="21">
        <f t="shared" si="5"/>
        <v>-6.9565217391304373</v>
      </c>
      <c r="Q17" s="358">
        <f t="shared" si="6"/>
        <v>0.95478260869565212</v>
      </c>
      <c r="R17" s="573"/>
      <c r="S17" s="49">
        <v>0.77013888888888893</v>
      </c>
      <c r="T17" s="49">
        <v>0.83402777777777781</v>
      </c>
      <c r="U17" s="359">
        <f t="shared" si="18"/>
        <v>6.9999999999999751</v>
      </c>
      <c r="V17" s="362">
        <f t="shared" si="17"/>
        <v>92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-90.434782608695741</v>
      </c>
      <c r="AF17" s="358">
        <f t="shared" si="9"/>
        <v>0.95478260869565212</v>
      </c>
      <c r="AG17" s="573"/>
    </row>
    <row r="18" spans="1:33" ht="16.5" customHeight="1">
      <c r="A18" s="601" t="s">
        <v>2137</v>
      </c>
      <c r="B18" s="39" t="s">
        <v>2134</v>
      </c>
      <c r="C18" s="576"/>
      <c r="D18" s="576"/>
      <c r="E18" s="360"/>
      <c r="F18" s="42"/>
      <c r="G18" s="18"/>
      <c r="H18" s="364"/>
      <c r="I18" s="32">
        <v>17.75</v>
      </c>
      <c r="J18" s="43">
        <v>1750</v>
      </c>
      <c r="K18" s="18">
        <f t="shared" si="1"/>
        <v>98.591549295774641</v>
      </c>
      <c r="L18" s="32">
        <v>17.75</v>
      </c>
      <c r="M18" s="19">
        <f>AVERAGE(M14:M17)</f>
        <v>1680.6177827058825</v>
      </c>
      <c r="N18" s="18">
        <f t="shared" si="3"/>
        <v>94.682691983430004</v>
      </c>
      <c r="O18" s="20">
        <f t="shared" si="4"/>
        <v>0</v>
      </c>
      <c r="P18" s="21">
        <f t="shared" si="5"/>
        <v>-3.9088573123446366</v>
      </c>
      <c r="Q18" s="358">
        <f t="shared" si="6"/>
        <v>0.96035301868907585</v>
      </c>
      <c r="R18" s="573"/>
      <c r="S18" s="49"/>
      <c r="T18" s="49"/>
      <c r="U18" s="359"/>
      <c r="V18" s="362"/>
      <c r="W18" s="18"/>
      <c r="X18" s="18"/>
      <c r="Y18" s="33">
        <f>SUM(Y14:Y17)</f>
        <v>0</v>
      </c>
      <c r="Z18" s="33">
        <f>SUM(Z14:Z17)</f>
        <v>0</v>
      </c>
      <c r="AA18" s="572"/>
      <c r="AB18" s="572"/>
      <c r="AC18" s="33">
        <v>4</v>
      </c>
      <c r="AD18" s="33">
        <f>SUM(AD14:AD17)</f>
        <v>0</v>
      </c>
      <c r="AE18" s="20">
        <f t="shared" si="8"/>
        <v>-69.382217294117481</v>
      </c>
      <c r="AF18" s="358">
        <f t="shared" si="9"/>
        <v>0.96035301868907574</v>
      </c>
      <c r="AG18" s="573"/>
    </row>
    <row r="19" spans="1:33" ht="15.75" customHeight="1">
      <c r="A19" s="596" t="s">
        <v>2138</v>
      </c>
      <c r="B19" s="39" t="s">
        <v>74</v>
      </c>
      <c r="C19" s="594" t="s">
        <v>84</v>
      </c>
      <c r="D19" s="594"/>
      <c r="E19" s="39">
        <v>54.09</v>
      </c>
      <c r="F19" s="364">
        <v>1815</v>
      </c>
      <c r="G19" s="359">
        <f t="shared" ref="G19:G24" si="19">E19*F19</f>
        <v>98173.35</v>
      </c>
      <c r="H19" s="48" t="s">
        <v>126</v>
      </c>
      <c r="I19" s="361">
        <v>17</v>
      </c>
      <c r="J19" s="43">
        <v>1500</v>
      </c>
      <c r="K19" s="18">
        <f t="shared" si="1"/>
        <v>88.235294117647058</v>
      </c>
      <c r="L19" s="361">
        <v>17</v>
      </c>
      <c r="M19" s="19">
        <f t="shared" ref="M19:M24" si="20">F19/V19*60</f>
        <v>1432.894736842105</v>
      </c>
      <c r="N19" s="18">
        <f t="shared" si="3"/>
        <v>84.287925696594414</v>
      </c>
      <c r="O19" s="20">
        <f t="shared" si="4"/>
        <v>0</v>
      </c>
      <c r="P19" s="21">
        <f t="shared" si="5"/>
        <v>-3.9473684210526443</v>
      </c>
      <c r="Q19" s="358">
        <f t="shared" si="6"/>
        <v>0.9552631578947367</v>
      </c>
      <c r="R19" s="573">
        <f>Q25</f>
        <v>0.95975347158065272</v>
      </c>
      <c r="S19" s="49">
        <v>0.20833333333333334</v>
      </c>
      <c r="T19" s="49">
        <v>0.26111111111111113</v>
      </c>
      <c r="U19" s="359"/>
      <c r="V19" s="362">
        <f t="shared" ref="V19:V24" si="21">(T19-S19)*24*60</f>
        <v>76.000000000000014</v>
      </c>
      <c r="W19" s="30"/>
      <c r="X19" s="30"/>
      <c r="Y19" s="30"/>
      <c r="Z19" s="30"/>
      <c r="AA19" s="575"/>
      <c r="AB19" s="575"/>
      <c r="AC19" s="50">
        <v>6</v>
      </c>
      <c r="AD19" s="27"/>
      <c r="AE19" s="20">
        <f t="shared" si="8"/>
        <v>-67.105263157895024</v>
      </c>
      <c r="AF19" s="358">
        <f t="shared" si="9"/>
        <v>0.9552631578947367</v>
      </c>
      <c r="AG19" s="573">
        <f>AF25</f>
        <v>0.95975347158065283</v>
      </c>
    </row>
    <row r="20" spans="1:33" ht="15.75" customHeight="1">
      <c r="A20" s="597" t="s">
        <v>2138</v>
      </c>
      <c r="B20" s="39" t="s">
        <v>74</v>
      </c>
      <c r="C20" s="594" t="s">
        <v>89</v>
      </c>
      <c r="D20" s="594"/>
      <c r="E20" s="39">
        <v>50.67</v>
      </c>
      <c r="F20" s="364">
        <v>1795</v>
      </c>
      <c r="G20" s="359">
        <f t="shared" si="19"/>
        <v>90952.650000000009</v>
      </c>
      <c r="H20" s="48" t="s">
        <v>126</v>
      </c>
      <c r="I20" s="361">
        <v>17</v>
      </c>
      <c r="J20" s="43">
        <v>2000</v>
      </c>
      <c r="K20" s="18">
        <f t="shared" si="1"/>
        <v>117.64705882352941</v>
      </c>
      <c r="L20" s="361">
        <v>17</v>
      </c>
      <c r="M20" s="19">
        <f t="shared" si="20"/>
        <v>1923.2142857142842</v>
      </c>
      <c r="N20" s="18">
        <f t="shared" si="3"/>
        <v>113.13025210084025</v>
      </c>
      <c r="O20" s="20">
        <f t="shared" si="4"/>
        <v>0</v>
      </c>
      <c r="P20" s="21">
        <f t="shared" si="5"/>
        <v>-4.5168067226891537</v>
      </c>
      <c r="Q20" s="358">
        <f t="shared" si="6"/>
        <v>0.96160714285714222</v>
      </c>
      <c r="R20" s="573"/>
      <c r="S20" s="49">
        <v>0.26666666666666666</v>
      </c>
      <c r="T20" s="49">
        <v>0.30555555555555558</v>
      </c>
      <c r="U20" s="359">
        <f t="shared" ref="U20:U24" si="22">IF(S20=TIME(17,0,0),"",(S20-T19)*24*60)</f>
        <v>7.9999999999999716</v>
      </c>
      <c r="V20" s="362">
        <f t="shared" si="21"/>
        <v>56.000000000000043</v>
      </c>
      <c r="W20" s="25"/>
      <c r="X20" s="359"/>
      <c r="Y20" s="359"/>
      <c r="Z20" s="359"/>
      <c r="AA20" s="575"/>
      <c r="AB20" s="575"/>
      <c r="AC20" s="50"/>
      <c r="AD20" s="27"/>
      <c r="AE20" s="20">
        <f t="shared" si="8"/>
        <v>-76.785714285715812</v>
      </c>
      <c r="AF20" s="358">
        <f t="shared" si="9"/>
        <v>0.96160714285714211</v>
      </c>
      <c r="AG20" s="573"/>
    </row>
    <row r="21" spans="1:33" ht="15.75" customHeight="1">
      <c r="A21" s="597" t="s">
        <v>2138</v>
      </c>
      <c r="B21" s="39" t="s">
        <v>74</v>
      </c>
      <c r="C21" s="594" t="s">
        <v>90</v>
      </c>
      <c r="D21" s="594"/>
      <c r="E21" s="39">
        <v>57.73</v>
      </c>
      <c r="F21" s="364">
        <v>2013</v>
      </c>
      <c r="G21" s="359">
        <f t="shared" si="19"/>
        <v>116210.48999999999</v>
      </c>
      <c r="H21" s="48" t="s">
        <v>126</v>
      </c>
      <c r="I21" s="361">
        <v>14</v>
      </c>
      <c r="J21" s="43">
        <v>2000</v>
      </c>
      <c r="K21" s="18">
        <f t="shared" si="1"/>
        <v>142.85714285714286</v>
      </c>
      <c r="L21" s="361">
        <v>14</v>
      </c>
      <c r="M21" s="19">
        <f t="shared" si="20"/>
        <v>1917.1428571428567</v>
      </c>
      <c r="N21" s="18">
        <f t="shared" si="3"/>
        <v>136.93877551020404</v>
      </c>
      <c r="O21" s="20">
        <f t="shared" si="4"/>
        <v>0</v>
      </c>
      <c r="P21" s="21">
        <f t="shared" si="5"/>
        <v>-5.9183673469388225</v>
      </c>
      <c r="Q21" s="358">
        <f t="shared" si="6"/>
        <v>0.9585714285714283</v>
      </c>
      <c r="R21" s="573"/>
      <c r="S21" s="49">
        <v>0.31111111111111112</v>
      </c>
      <c r="T21" s="49">
        <v>0.35486111111111113</v>
      </c>
      <c r="U21" s="359">
        <f t="shared" si="22"/>
        <v>7.9999999999999716</v>
      </c>
      <c r="V21" s="362">
        <f t="shared" si="21"/>
        <v>63.000000000000014</v>
      </c>
      <c r="W21" s="25"/>
      <c r="X21" s="359"/>
      <c r="Y21" s="359"/>
      <c r="Z21" s="359"/>
      <c r="AA21" s="575"/>
      <c r="AB21" s="575"/>
      <c r="AC21" s="50"/>
      <c r="AD21" s="27"/>
      <c r="AE21" s="20">
        <f t="shared" si="8"/>
        <v>-82.857142857143344</v>
      </c>
      <c r="AF21" s="358">
        <f t="shared" si="9"/>
        <v>0.9585714285714283</v>
      </c>
      <c r="AG21" s="573"/>
    </row>
    <row r="22" spans="1:33" ht="15.75" customHeight="1">
      <c r="A22" s="597" t="s">
        <v>2138</v>
      </c>
      <c r="B22" s="39" t="s">
        <v>74</v>
      </c>
      <c r="C22" s="594" t="s">
        <v>1232</v>
      </c>
      <c r="D22" s="594"/>
      <c r="E22" s="39">
        <v>53.27</v>
      </c>
      <c r="F22" s="364">
        <v>1984</v>
      </c>
      <c r="G22" s="359">
        <f t="shared" si="19"/>
        <v>105687.68000000001</v>
      </c>
      <c r="H22" s="48" t="s">
        <v>126</v>
      </c>
      <c r="I22" s="361">
        <v>16</v>
      </c>
      <c r="J22" s="43">
        <v>2000</v>
      </c>
      <c r="K22" s="18">
        <f t="shared" si="1"/>
        <v>125</v>
      </c>
      <c r="L22" s="361">
        <v>16</v>
      </c>
      <c r="M22" s="19">
        <f t="shared" si="20"/>
        <v>1919.9999999999993</v>
      </c>
      <c r="N22" s="18">
        <f t="shared" si="3"/>
        <v>119.99999999999996</v>
      </c>
      <c r="O22" s="20">
        <f t="shared" si="4"/>
        <v>0</v>
      </c>
      <c r="P22" s="21">
        <f t="shared" si="5"/>
        <v>-5.0000000000000426</v>
      </c>
      <c r="Q22" s="358">
        <f t="shared" si="6"/>
        <v>0.95999999999999963</v>
      </c>
      <c r="R22" s="573"/>
      <c r="S22" s="49">
        <v>0.36041666666666666</v>
      </c>
      <c r="T22" s="49">
        <v>0.40347222222222223</v>
      </c>
      <c r="U22" s="359">
        <f t="shared" si="22"/>
        <v>7.9999999999999716</v>
      </c>
      <c r="V22" s="362">
        <f t="shared" si="21"/>
        <v>62.000000000000021</v>
      </c>
      <c r="W22" s="25"/>
      <c r="X22" s="359"/>
      <c r="Y22" s="359"/>
      <c r="Z22" s="359"/>
      <c r="AA22" s="575"/>
      <c r="AB22" s="575"/>
      <c r="AC22" s="50"/>
      <c r="AD22" s="27"/>
      <c r="AE22" s="20">
        <f t="shared" si="8"/>
        <v>-80.000000000000682</v>
      </c>
      <c r="AF22" s="358">
        <f t="shared" si="9"/>
        <v>0.95999999999999963</v>
      </c>
      <c r="AG22" s="573"/>
    </row>
    <row r="23" spans="1:33" ht="15.75" customHeight="1">
      <c r="A23" s="597" t="s">
        <v>2138</v>
      </c>
      <c r="B23" s="39" t="s">
        <v>74</v>
      </c>
      <c r="C23" s="594" t="s">
        <v>92</v>
      </c>
      <c r="D23" s="594"/>
      <c r="E23" s="39">
        <v>50.49</v>
      </c>
      <c r="F23" s="364">
        <v>1475</v>
      </c>
      <c r="G23" s="359">
        <f t="shared" si="19"/>
        <v>74472.75</v>
      </c>
      <c r="H23" s="48" t="s">
        <v>126</v>
      </c>
      <c r="I23" s="361">
        <v>15</v>
      </c>
      <c r="J23" s="43">
        <v>2000</v>
      </c>
      <c r="K23" s="18">
        <f t="shared" si="1"/>
        <v>133.33333333333334</v>
      </c>
      <c r="L23" s="361">
        <v>15</v>
      </c>
      <c r="M23" s="19">
        <f t="shared" si="20"/>
        <v>1923.913043478261</v>
      </c>
      <c r="N23" s="18">
        <f t="shared" si="3"/>
        <v>128.2608695652174</v>
      </c>
      <c r="O23" s="20">
        <f t="shared" si="4"/>
        <v>0</v>
      </c>
      <c r="P23" s="21">
        <f t="shared" si="5"/>
        <v>-5.0724637681159379</v>
      </c>
      <c r="Q23" s="358">
        <f t="shared" si="6"/>
        <v>0.96195652173913049</v>
      </c>
      <c r="R23" s="573"/>
      <c r="S23" s="49">
        <v>0.70833333333333337</v>
      </c>
      <c r="T23" s="49">
        <v>0.74027777777777781</v>
      </c>
      <c r="U23" s="359" t="str">
        <f t="shared" si="22"/>
        <v/>
      </c>
      <c r="V23" s="362">
        <f t="shared" si="21"/>
        <v>46</v>
      </c>
      <c r="W23" s="25"/>
      <c r="X23" s="25"/>
      <c r="Y23" s="359"/>
      <c r="Z23" s="359"/>
      <c r="AA23" s="575"/>
      <c r="AB23" s="575"/>
      <c r="AC23" s="50"/>
      <c r="AD23" s="27"/>
      <c r="AE23" s="20">
        <f t="shared" si="8"/>
        <v>-76.086956521739012</v>
      </c>
      <c r="AF23" s="358">
        <f t="shared" si="9"/>
        <v>0.96195652173913049</v>
      </c>
      <c r="AG23" s="573"/>
    </row>
    <row r="24" spans="1:33" ht="15.75" customHeight="1">
      <c r="A24" s="597" t="s">
        <v>2138</v>
      </c>
      <c r="B24" s="39" t="s">
        <v>74</v>
      </c>
      <c r="C24" s="594" t="s">
        <v>93</v>
      </c>
      <c r="D24" s="594"/>
      <c r="E24" s="39">
        <v>50.98</v>
      </c>
      <c r="F24" s="364">
        <v>1696</v>
      </c>
      <c r="G24" s="359">
        <f t="shared" si="19"/>
        <v>86462.080000000002</v>
      </c>
      <c r="H24" s="48" t="s">
        <v>126</v>
      </c>
      <c r="I24" s="361">
        <v>16</v>
      </c>
      <c r="J24" s="43">
        <v>2000</v>
      </c>
      <c r="K24" s="18">
        <f t="shared" si="1"/>
        <v>125</v>
      </c>
      <c r="L24" s="361">
        <v>16</v>
      </c>
      <c r="M24" s="19">
        <f t="shared" si="20"/>
        <v>1920.0000000000009</v>
      </c>
      <c r="N24" s="18">
        <f t="shared" si="3"/>
        <v>120.00000000000006</v>
      </c>
      <c r="O24" s="20">
        <f t="shared" si="4"/>
        <v>0</v>
      </c>
      <c r="P24" s="21">
        <f t="shared" si="5"/>
        <v>-4.9999999999999432</v>
      </c>
      <c r="Q24" s="358">
        <f t="shared" si="6"/>
        <v>0.96000000000000041</v>
      </c>
      <c r="R24" s="573"/>
      <c r="S24" s="49">
        <v>0.74375000000000002</v>
      </c>
      <c r="T24" s="49">
        <v>0.78055555555555556</v>
      </c>
      <c r="U24" s="359">
        <f t="shared" si="22"/>
        <v>4.9999999999999822</v>
      </c>
      <c r="V24" s="362">
        <f t="shared" si="21"/>
        <v>52.999999999999972</v>
      </c>
      <c r="W24" s="25"/>
      <c r="X24" s="30"/>
      <c r="Y24" s="30"/>
      <c r="Z24" s="30"/>
      <c r="AA24" s="575"/>
      <c r="AB24" s="575"/>
      <c r="AC24" s="50"/>
      <c r="AD24" s="27"/>
      <c r="AE24" s="20">
        <f t="shared" si="8"/>
        <v>-79.999999999999091</v>
      </c>
      <c r="AF24" s="358">
        <f t="shared" si="9"/>
        <v>0.96000000000000041</v>
      </c>
      <c r="AG24" s="573"/>
    </row>
    <row r="25" spans="1:33" ht="15.75" customHeight="1">
      <c r="A25" s="597" t="s">
        <v>2138</v>
      </c>
      <c r="B25" s="39" t="s">
        <v>2134</v>
      </c>
      <c r="C25" s="576"/>
      <c r="D25" s="576"/>
      <c r="E25" s="360"/>
      <c r="F25" s="364"/>
      <c r="G25" s="359"/>
      <c r="H25" s="364"/>
      <c r="I25" s="32">
        <v>15.833333333333334</v>
      </c>
      <c r="J25" s="43">
        <v>1916.6666666666667</v>
      </c>
      <c r="K25" s="18">
        <f t="shared" si="1"/>
        <v>121.05263157894737</v>
      </c>
      <c r="L25" s="32">
        <v>15.833333333333334</v>
      </c>
      <c r="M25" s="19">
        <f>AVERAGE(M19:M24)</f>
        <v>1839.5274871962513</v>
      </c>
      <c r="N25" s="18">
        <f t="shared" si="3"/>
        <v>116.18068340186849</v>
      </c>
      <c r="O25" s="20">
        <f t="shared" si="4"/>
        <v>0</v>
      </c>
      <c r="P25" s="21">
        <f t="shared" si="5"/>
        <v>-4.8719481770788775</v>
      </c>
      <c r="Q25" s="358">
        <f t="shared" si="6"/>
        <v>0.95975347158065272</v>
      </c>
      <c r="R25" s="573"/>
      <c r="S25" s="49"/>
      <c r="T25" s="49"/>
      <c r="U25" s="18"/>
      <c r="V25" s="362"/>
      <c r="W25" s="18"/>
      <c r="X25" s="18"/>
      <c r="Y25" s="33">
        <f>SUM(Y19:Y24)</f>
        <v>0</v>
      </c>
      <c r="Z25" s="33">
        <f>SUM(Z19:Z24)</f>
        <v>0</v>
      </c>
      <c r="AA25" s="572"/>
      <c r="AB25" s="572"/>
      <c r="AC25" s="33">
        <v>6</v>
      </c>
      <c r="AD25" s="33">
        <f>SUM(AD19:AD24)</f>
        <v>0</v>
      </c>
      <c r="AE25" s="20">
        <f t="shared" si="8"/>
        <v>-77.139179470415456</v>
      </c>
      <c r="AF25" s="358">
        <f t="shared" si="9"/>
        <v>0.95975347158065283</v>
      </c>
      <c r="AG25" s="573"/>
    </row>
    <row r="26" spans="1:33" ht="15.75" customHeight="1">
      <c r="A26" s="595" t="s">
        <v>2139</v>
      </c>
      <c r="B26" s="39" t="s">
        <v>94</v>
      </c>
      <c r="C26" s="594" t="s">
        <v>95</v>
      </c>
      <c r="D26" s="594"/>
      <c r="E26" s="39">
        <v>31.29</v>
      </c>
      <c r="F26" s="364">
        <v>5000</v>
      </c>
      <c r="G26" s="359">
        <f t="shared" ref="G26:G33" si="23">E26*F26</f>
        <v>156450</v>
      </c>
      <c r="H26" s="48">
        <v>2</v>
      </c>
      <c r="I26" s="361">
        <v>18</v>
      </c>
      <c r="J26" s="43">
        <v>2400</v>
      </c>
      <c r="K26" s="18">
        <f t="shared" si="1"/>
        <v>133.33333333333334</v>
      </c>
      <c r="L26" s="361">
        <v>18</v>
      </c>
      <c r="M26" s="19">
        <f t="shared" ref="M26:M33" si="24">F26/V26*60</f>
        <v>2290.0763358778627</v>
      </c>
      <c r="N26" s="18">
        <f t="shared" si="3"/>
        <v>127.2264631043257</v>
      </c>
      <c r="O26" s="20">
        <f t="shared" si="4"/>
        <v>0</v>
      </c>
      <c r="P26" s="21">
        <f t="shared" si="5"/>
        <v>-6.1068702290076402</v>
      </c>
      <c r="Q26" s="358">
        <f t="shared" si="6"/>
        <v>0.95419847328244267</v>
      </c>
      <c r="R26" s="573">
        <f>Q34</f>
        <v>0.95582106978287573</v>
      </c>
      <c r="S26" s="49">
        <v>8.3333333333333329E-2</v>
      </c>
      <c r="T26" s="49">
        <v>0.17430555555555555</v>
      </c>
      <c r="U26" s="359"/>
      <c r="V26" s="362">
        <f t="shared" ref="V26:V33" si="25">(T26-S26)*24*60</f>
        <v>131</v>
      </c>
      <c r="W26" s="25">
        <f>T26</f>
        <v>0.17430555555555555</v>
      </c>
      <c r="X26" s="25">
        <f>S27</f>
        <v>0.19305555555555554</v>
      </c>
      <c r="Y26" s="25"/>
      <c r="Z26" s="25"/>
      <c r="AA26" s="575"/>
      <c r="AB26" s="575"/>
      <c r="AC26" s="50">
        <v>8</v>
      </c>
      <c r="AD26" s="27"/>
      <c r="AE26" s="20">
        <f t="shared" si="8"/>
        <v>-109.92366412213732</v>
      </c>
      <c r="AF26" s="358">
        <f t="shared" si="9"/>
        <v>0.95419847328244278</v>
      </c>
      <c r="AG26" s="573">
        <f>AF34</f>
        <v>0.95582106978287562</v>
      </c>
    </row>
    <row r="27" spans="1:33" ht="15.75" customHeight="1">
      <c r="A27" s="595" t="s">
        <v>2140</v>
      </c>
      <c r="B27" s="39" t="s">
        <v>94</v>
      </c>
      <c r="C27" s="594" t="s">
        <v>97</v>
      </c>
      <c r="D27" s="594"/>
      <c r="E27" s="39">
        <v>26.37</v>
      </c>
      <c r="F27" s="364">
        <v>4000</v>
      </c>
      <c r="G27" s="359">
        <f t="shared" si="23"/>
        <v>105480</v>
      </c>
      <c r="H27" s="48">
        <v>2</v>
      </c>
      <c r="I27" s="361">
        <v>18</v>
      </c>
      <c r="J27" s="43">
        <v>2400</v>
      </c>
      <c r="K27" s="18">
        <f t="shared" si="1"/>
        <v>133.33333333333334</v>
      </c>
      <c r="L27" s="361">
        <v>18</v>
      </c>
      <c r="M27" s="19">
        <f t="shared" si="24"/>
        <v>2285.7142857142853</v>
      </c>
      <c r="N27" s="18">
        <f t="shared" si="3"/>
        <v>126.98412698412696</v>
      </c>
      <c r="O27" s="20">
        <f t="shared" si="4"/>
        <v>0</v>
      </c>
      <c r="P27" s="21">
        <f t="shared" si="5"/>
        <v>-6.3492063492063835</v>
      </c>
      <c r="Q27" s="358">
        <f t="shared" si="6"/>
        <v>0.95238095238095211</v>
      </c>
      <c r="R27" s="573"/>
      <c r="S27" s="49">
        <v>0.19305555555555554</v>
      </c>
      <c r="T27" s="49">
        <v>0.26597222222222222</v>
      </c>
      <c r="U27" s="359">
        <f t="shared" ref="U27:U33" si="26">(S27-T26)*24*60</f>
        <v>26.999999999999986</v>
      </c>
      <c r="V27" s="362">
        <f t="shared" si="25"/>
        <v>105.00000000000003</v>
      </c>
      <c r="W27" s="25"/>
      <c r="X27" s="25"/>
      <c r="Y27" s="25"/>
      <c r="Z27" s="25"/>
      <c r="AA27" s="575"/>
      <c r="AB27" s="575"/>
      <c r="AC27" s="50"/>
      <c r="AD27" s="27"/>
      <c r="AE27" s="20">
        <f t="shared" si="8"/>
        <v>-114.28571428571468</v>
      </c>
      <c r="AF27" s="358">
        <f t="shared" si="9"/>
        <v>0.95238095238095222</v>
      </c>
      <c r="AG27" s="573"/>
    </row>
    <row r="28" spans="1:33" ht="15.75" customHeight="1">
      <c r="A28" s="595" t="s">
        <v>2140</v>
      </c>
      <c r="B28" s="39" t="s">
        <v>94</v>
      </c>
      <c r="C28" s="594" t="s">
        <v>1231</v>
      </c>
      <c r="D28" s="594"/>
      <c r="E28" s="39">
        <v>25.99</v>
      </c>
      <c r="F28" s="364">
        <v>3031</v>
      </c>
      <c r="G28" s="359">
        <f t="shared" si="23"/>
        <v>78775.69</v>
      </c>
      <c r="H28" s="48" t="s">
        <v>126</v>
      </c>
      <c r="I28" s="361">
        <v>19</v>
      </c>
      <c r="J28" s="43">
        <v>2400</v>
      </c>
      <c r="K28" s="18">
        <f t="shared" si="1"/>
        <v>126.31578947368421</v>
      </c>
      <c r="L28" s="361">
        <v>19</v>
      </c>
      <c r="M28" s="19">
        <f t="shared" si="24"/>
        <v>2302.0253164556975</v>
      </c>
      <c r="N28" s="18">
        <f t="shared" si="3"/>
        <v>121.15922718187882</v>
      </c>
      <c r="O28" s="20">
        <f t="shared" si="4"/>
        <v>0</v>
      </c>
      <c r="P28" s="21">
        <f t="shared" si="5"/>
        <v>-5.1565622918053862</v>
      </c>
      <c r="Q28" s="358">
        <f t="shared" si="6"/>
        <v>0.95917721518987398</v>
      </c>
      <c r="R28" s="573"/>
      <c r="S28" s="49">
        <v>0.27152777777777776</v>
      </c>
      <c r="T28" s="49">
        <v>0.32638888888888884</v>
      </c>
      <c r="U28" s="359">
        <f t="shared" si="26"/>
        <v>7.9999999999999716</v>
      </c>
      <c r="V28" s="362">
        <f t="shared" si="25"/>
        <v>78.999999999999957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-97.974683544302479</v>
      </c>
      <c r="AF28" s="358">
        <f t="shared" si="9"/>
        <v>0.95917721518987398</v>
      </c>
      <c r="AG28" s="573"/>
    </row>
    <row r="29" spans="1:33" ht="15.75" customHeight="1">
      <c r="A29" s="595" t="s">
        <v>2140</v>
      </c>
      <c r="B29" s="39" t="s">
        <v>94</v>
      </c>
      <c r="C29" s="594" t="s">
        <v>529</v>
      </c>
      <c r="D29" s="594"/>
      <c r="E29" s="39">
        <v>26.18</v>
      </c>
      <c r="F29" s="364">
        <v>4400</v>
      </c>
      <c r="G29" s="359">
        <f t="shared" si="23"/>
        <v>115192</v>
      </c>
      <c r="H29" s="48">
        <v>2</v>
      </c>
      <c r="I29" s="361">
        <v>18</v>
      </c>
      <c r="J29" s="43">
        <v>2400</v>
      </c>
      <c r="K29" s="18">
        <f t="shared" si="1"/>
        <v>133.33333333333334</v>
      </c>
      <c r="L29" s="361">
        <v>18</v>
      </c>
      <c r="M29" s="19">
        <f t="shared" si="24"/>
        <v>2295.652173913044</v>
      </c>
      <c r="N29" s="18">
        <f t="shared" si="3"/>
        <v>127.536231884058</v>
      </c>
      <c r="O29" s="20">
        <f t="shared" si="4"/>
        <v>0</v>
      </c>
      <c r="P29" s="21">
        <f t="shared" si="5"/>
        <v>-5.7971014492753454</v>
      </c>
      <c r="Q29" s="358">
        <f t="shared" si="6"/>
        <v>0.95652173913043492</v>
      </c>
      <c r="R29" s="573"/>
      <c r="S29" s="49">
        <v>0.32986111111111105</v>
      </c>
      <c r="T29" s="49">
        <v>0.40972222222222215</v>
      </c>
      <c r="U29" s="359">
        <f t="shared" si="26"/>
        <v>4.9999999999999822</v>
      </c>
      <c r="V29" s="362">
        <f t="shared" si="25"/>
        <v>114.99999999999999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-104.34782608695605</v>
      </c>
      <c r="AF29" s="358">
        <f t="shared" si="9"/>
        <v>0.95652173913043503</v>
      </c>
      <c r="AG29" s="573"/>
    </row>
    <row r="30" spans="1:33" ht="15.75" customHeight="1">
      <c r="A30" s="595" t="s">
        <v>2140</v>
      </c>
      <c r="B30" s="39" t="s">
        <v>94</v>
      </c>
      <c r="C30" s="594" t="s">
        <v>98</v>
      </c>
      <c r="D30" s="594"/>
      <c r="E30" s="39">
        <v>25.99</v>
      </c>
      <c r="F30" s="364">
        <v>4171</v>
      </c>
      <c r="G30" s="359">
        <f t="shared" si="23"/>
        <v>108404.29</v>
      </c>
      <c r="H30" s="48" t="s">
        <v>126</v>
      </c>
      <c r="I30" s="361">
        <v>14</v>
      </c>
      <c r="J30" s="43">
        <v>2400</v>
      </c>
      <c r="K30" s="18">
        <f t="shared" si="1"/>
        <v>171.42857142857142</v>
      </c>
      <c r="L30" s="361">
        <v>14</v>
      </c>
      <c r="M30" s="19">
        <f t="shared" si="24"/>
        <v>2295.9633027522932</v>
      </c>
      <c r="N30" s="18">
        <f t="shared" si="3"/>
        <v>163.99737876802095</v>
      </c>
      <c r="O30" s="20">
        <f t="shared" si="4"/>
        <v>0</v>
      </c>
      <c r="P30" s="21">
        <f t="shared" si="5"/>
        <v>-7.4311926605504652</v>
      </c>
      <c r="Q30" s="358">
        <f t="shared" si="6"/>
        <v>0.95665137614678897</v>
      </c>
      <c r="R30" s="573"/>
      <c r="S30" s="49">
        <v>0.41458333333333325</v>
      </c>
      <c r="T30" s="49">
        <v>0.4902777777777777</v>
      </c>
      <c r="U30" s="359">
        <f t="shared" si="26"/>
        <v>6.9999999999999751</v>
      </c>
      <c r="V30" s="362">
        <f t="shared" si="25"/>
        <v>109.00000000000001</v>
      </c>
      <c r="W30" s="25">
        <f>T30</f>
        <v>0.4902777777777777</v>
      </c>
      <c r="X30" s="25">
        <f>S31</f>
        <v>0.53055555555555545</v>
      </c>
      <c r="Y30" s="25"/>
      <c r="Z30" s="25"/>
      <c r="AA30" s="575"/>
      <c r="AB30" s="575"/>
      <c r="AC30" s="50"/>
      <c r="AD30" s="27"/>
      <c r="AE30" s="20">
        <f t="shared" si="8"/>
        <v>-104.0366972477068</v>
      </c>
      <c r="AF30" s="358">
        <f t="shared" si="9"/>
        <v>0.95665137614678886</v>
      </c>
      <c r="AG30" s="573"/>
    </row>
    <row r="31" spans="1:33" ht="15.75" customHeight="1">
      <c r="A31" s="595" t="s">
        <v>2140</v>
      </c>
      <c r="B31" s="39" t="s">
        <v>94</v>
      </c>
      <c r="C31" s="594" t="s">
        <v>95</v>
      </c>
      <c r="D31" s="594"/>
      <c r="E31" s="39">
        <v>31.29</v>
      </c>
      <c r="F31" s="364">
        <v>3518</v>
      </c>
      <c r="G31" s="359">
        <f t="shared" si="23"/>
        <v>110078.22</v>
      </c>
      <c r="H31" s="48" t="s">
        <v>126</v>
      </c>
      <c r="I31" s="361">
        <v>18</v>
      </c>
      <c r="J31" s="43">
        <v>2400</v>
      </c>
      <c r="K31" s="18">
        <f t="shared" si="1"/>
        <v>133.33333333333334</v>
      </c>
      <c r="L31" s="361">
        <v>18</v>
      </c>
      <c r="M31" s="19">
        <f t="shared" si="24"/>
        <v>2294.3478260869565</v>
      </c>
      <c r="N31" s="18">
        <f t="shared" si="3"/>
        <v>127.46376811594203</v>
      </c>
      <c r="O31" s="20">
        <f t="shared" si="4"/>
        <v>0</v>
      </c>
      <c r="P31" s="21">
        <f t="shared" si="5"/>
        <v>-5.8695652173913118</v>
      </c>
      <c r="Q31" s="358">
        <f t="shared" si="6"/>
        <v>0.95597826086956517</v>
      </c>
      <c r="R31" s="573"/>
      <c r="S31" s="49">
        <v>0.53055555555555545</v>
      </c>
      <c r="T31" s="49">
        <v>0.59444444444444433</v>
      </c>
      <c r="U31" s="359">
        <f t="shared" si="26"/>
        <v>57.999999999999957</v>
      </c>
      <c r="V31" s="362">
        <f t="shared" si="25"/>
        <v>92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-105.6521739130435</v>
      </c>
      <c r="AF31" s="358">
        <f t="shared" si="9"/>
        <v>0.95597826086956517</v>
      </c>
      <c r="AG31" s="573"/>
    </row>
    <row r="32" spans="1:33" ht="15.75" customHeight="1">
      <c r="A32" s="595" t="s">
        <v>2140</v>
      </c>
      <c r="B32" s="39" t="s">
        <v>94</v>
      </c>
      <c r="C32" s="594" t="s">
        <v>529</v>
      </c>
      <c r="D32" s="594"/>
      <c r="E32" s="39">
        <v>26.18</v>
      </c>
      <c r="F32" s="364">
        <v>3152</v>
      </c>
      <c r="G32" s="359">
        <f t="shared" si="23"/>
        <v>82519.360000000001</v>
      </c>
      <c r="H32" s="48" t="s">
        <v>126</v>
      </c>
      <c r="I32" s="361">
        <v>18</v>
      </c>
      <c r="J32" s="43">
        <v>2400</v>
      </c>
      <c r="K32" s="18">
        <f t="shared" si="1"/>
        <v>133.33333333333334</v>
      </c>
      <c r="L32" s="361">
        <v>18</v>
      </c>
      <c r="M32" s="19">
        <f t="shared" si="24"/>
        <v>2306.3414634146334</v>
      </c>
      <c r="N32" s="18">
        <f t="shared" si="3"/>
        <v>128.13008130081298</v>
      </c>
      <c r="O32" s="20">
        <f t="shared" si="4"/>
        <v>0</v>
      </c>
      <c r="P32" s="21">
        <f t="shared" si="5"/>
        <v>-5.2032520325203677</v>
      </c>
      <c r="Q32" s="358">
        <f t="shared" si="6"/>
        <v>0.96097560975609719</v>
      </c>
      <c r="R32" s="573"/>
      <c r="S32" s="49">
        <v>0.59861111111111098</v>
      </c>
      <c r="T32" s="49">
        <v>0.65555555555555545</v>
      </c>
      <c r="U32" s="359">
        <f t="shared" si="26"/>
        <v>5.9999999999999787</v>
      </c>
      <c r="V32" s="362">
        <f t="shared" si="25"/>
        <v>82.000000000000028</v>
      </c>
      <c r="W32" s="25"/>
      <c r="X32" s="25"/>
      <c r="Y32" s="25"/>
      <c r="Z32" s="25"/>
      <c r="AA32" s="575"/>
      <c r="AB32" s="575"/>
      <c r="AC32" s="50"/>
      <c r="AD32" s="27"/>
      <c r="AE32" s="20">
        <f t="shared" si="8"/>
        <v>-93.658536585366619</v>
      </c>
      <c r="AF32" s="358">
        <f t="shared" si="9"/>
        <v>0.96097560975609719</v>
      </c>
      <c r="AG32" s="573"/>
    </row>
    <row r="33" spans="1:33" ht="15.75" customHeight="1">
      <c r="A33" s="595" t="s">
        <v>2140</v>
      </c>
      <c r="B33" s="39" t="s">
        <v>94</v>
      </c>
      <c r="C33" s="365" t="s">
        <v>97</v>
      </c>
      <c r="D33" s="366"/>
      <c r="E33" s="39">
        <v>26.37</v>
      </c>
      <c r="F33" s="364">
        <v>2776</v>
      </c>
      <c r="G33" s="359">
        <f t="shared" si="23"/>
        <v>73203.12000000001</v>
      </c>
      <c r="H33" s="48" t="s">
        <v>126</v>
      </c>
      <c r="I33" s="361">
        <v>18</v>
      </c>
      <c r="J33" s="43">
        <v>2400</v>
      </c>
      <c r="K33" s="18">
        <f t="shared" si="1"/>
        <v>133.33333333333334</v>
      </c>
      <c r="L33" s="361">
        <v>18</v>
      </c>
      <c r="M33" s="19">
        <f t="shared" si="24"/>
        <v>2281.6438356164367</v>
      </c>
      <c r="N33" s="18">
        <f t="shared" si="3"/>
        <v>126.75799086757982</v>
      </c>
      <c r="O33" s="20">
        <f t="shared" si="4"/>
        <v>0</v>
      </c>
      <c r="P33" s="21">
        <f t="shared" si="5"/>
        <v>-6.575342465753522</v>
      </c>
      <c r="Q33" s="358">
        <f t="shared" si="6"/>
        <v>0.95068493150684863</v>
      </c>
      <c r="R33" s="573"/>
      <c r="S33" s="49">
        <v>0.65902777777777766</v>
      </c>
      <c r="T33" s="49">
        <v>0.70972222222222214</v>
      </c>
      <c r="U33" s="359">
        <f t="shared" si="26"/>
        <v>4.9999999999999822</v>
      </c>
      <c r="V33" s="362">
        <f t="shared" si="25"/>
        <v>73.000000000000057</v>
      </c>
      <c r="W33" s="25"/>
      <c r="X33" s="25"/>
      <c r="Y33" s="25"/>
      <c r="Z33" s="25"/>
      <c r="AA33" s="354"/>
      <c r="AB33" s="355"/>
      <c r="AC33" s="50"/>
      <c r="AD33" s="27"/>
      <c r="AE33" s="20">
        <f t="shared" si="8"/>
        <v>-118.35616438356328</v>
      </c>
      <c r="AF33" s="358">
        <f t="shared" si="9"/>
        <v>0.95068493150684863</v>
      </c>
      <c r="AG33" s="573"/>
    </row>
    <row r="34" spans="1:33" ht="15.75" customHeight="1">
      <c r="A34" s="595" t="s">
        <v>2140</v>
      </c>
      <c r="B34" s="39" t="s">
        <v>2134</v>
      </c>
      <c r="C34" s="576"/>
      <c r="D34" s="576"/>
      <c r="E34" s="360"/>
      <c r="F34" s="364"/>
      <c r="G34" s="359"/>
      <c r="H34" s="364"/>
      <c r="I34" s="32">
        <v>17.625</v>
      </c>
      <c r="J34" s="43">
        <v>2400</v>
      </c>
      <c r="K34" s="18">
        <f t="shared" si="1"/>
        <v>136.17021276595744</v>
      </c>
      <c r="L34" s="32">
        <v>17.625</v>
      </c>
      <c r="M34" s="19">
        <f>AVERAGE(M26:M33)</f>
        <v>2293.9705674789016</v>
      </c>
      <c r="N34" s="18">
        <f t="shared" si="3"/>
        <v>130.15435843851924</v>
      </c>
      <c r="O34" s="20">
        <f t="shared" si="4"/>
        <v>0</v>
      </c>
      <c r="P34" s="21">
        <f t="shared" si="5"/>
        <v>-6.0158543274382055</v>
      </c>
      <c r="Q34" s="358">
        <f t="shared" si="6"/>
        <v>0.95582106978287573</v>
      </c>
      <c r="R34" s="573"/>
      <c r="S34" s="49"/>
      <c r="T34" s="49"/>
      <c r="U34" s="359"/>
      <c r="V34" s="362"/>
      <c r="W34" s="359"/>
      <c r="X34" s="359"/>
      <c r="Y34" s="33">
        <f>SUM(Y26:Y33)</f>
        <v>0</v>
      </c>
      <c r="Z34" s="33">
        <f>SUM(Z26:Z33)</f>
        <v>0</v>
      </c>
      <c r="AA34" s="572"/>
      <c r="AB34" s="572"/>
      <c r="AC34" s="33">
        <v>8</v>
      </c>
      <c r="AD34" s="33">
        <f>SUM(AD26:AD33)</f>
        <v>0</v>
      </c>
      <c r="AE34" s="20">
        <f t="shared" si="8"/>
        <v>-106.02943252109844</v>
      </c>
      <c r="AF34" s="358">
        <f t="shared" si="9"/>
        <v>0.95582106978287562</v>
      </c>
      <c r="AG34" s="573"/>
    </row>
    <row r="35" spans="1:33" ht="15.75" customHeight="1">
      <c r="A35" s="592" t="s">
        <v>2141</v>
      </c>
      <c r="B35" s="39" t="s">
        <v>94</v>
      </c>
      <c r="C35" s="574" t="s">
        <v>530</v>
      </c>
      <c r="D35" s="574"/>
      <c r="E35" s="39">
        <v>26.18</v>
      </c>
      <c r="F35" s="364">
        <v>3800</v>
      </c>
      <c r="G35" s="359">
        <f t="shared" ref="G35:G41" si="27">E35*F35</f>
        <v>99484</v>
      </c>
      <c r="H35" s="48">
        <v>2</v>
      </c>
      <c r="I35" s="361">
        <v>20</v>
      </c>
      <c r="J35" s="43">
        <v>2400</v>
      </c>
      <c r="K35" s="18">
        <f t="shared" si="1"/>
        <v>120</v>
      </c>
      <c r="L35" s="361">
        <v>20</v>
      </c>
      <c r="M35" s="19">
        <f t="shared" ref="M35:M41" si="28">F35/V35*60</f>
        <v>2303.030303030303</v>
      </c>
      <c r="N35" s="18">
        <f t="shared" si="3"/>
        <v>115.15151515151516</v>
      </c>
      <c r="O35" s="20">
        <f t="shared" si="4"/>
        <v>0</v>
      </c>
      <c r="P35" s="21">
        <f t="shared" si="5"/>
        <v>-4.8484848484848442</v>
      </c>
      <c r="Q35" s="358">
        <f t="shared" si="6"/>
        <v>0.95959595959595967</v>
      </c>
      <c r="R35" s="573">
        <f>Q42</f>
        <v>0.95804713796129914</v>
      </c>
      <c r="S35" s="49">
        <v>8.3333333333333329E-2</v>
      </c>
      <c r="T35" s="49">
        <v>0.15208333333333332</v>
      </c>
      <c r="U35" s="359"/>
      <c r="V35" s="362">
        <f t="shared" ref="V35:V41" si="29">(T35-S35)*24*60</f>
        <v>99</v>
      </c>
      <c r="W35" s="30">
        <f>T35</f>
        <v>0.15208333333333332</v>
      </c>
      <c r="X35" s="30">
        <f>S36</f>
        <v>0.17291666666666666</v>
      </c>
      <c r="Y35" s="30"/>
      <c r="Z35" s="30"/>
      <c r="AA35" s="575"/>
      <c r="AB35" s="575"/>
      <c r="AC35" s="50">
        <v>7</v>
      </c>
      <c r="AD35" s="27"/>
      <c r="AE35" s="20">
        <f t="shared" si="8"/>
        <v>-96.969696969696997</v>
      </c>
      <c r="AF35" s="358">
        <f t="shared" si="9"/>
        <v>0.95959595959595956</v>
      </c>
      <c r="AG35" s="573">
        <f>AF42</f>
        <v>0.95804713796129914</v>
      </c>
    </row>
    <row r="36" spans="1:33" ht="15.75" customHeight="1">
      <c r="A36" s="592" t="s">
        <v>2141</v>
      </c>
      <c r="B36" s="39" t="s">
        <v>94</v>
      </c>
      <c r="C36" s="574" t="s">
        <v>100</v>
      </c>
      <c r="D36" s="574"/>
      <c r="E36" s="39">
        <v>24.43</v>
      </c>
      <c r="F36" s="364">
        <v>6473</v>
      </c>
      <c r="G36" s="359">
        <f t="shared" si="27"/>
        <v>158135.38999999998</v>
      </c>
      <c r="H36" s="48" t="s">
        <v>126</v>
      </c>
      <c r="I36" s="361">
        <v>14</v>
      </c>
      <c r="J36" s="43">
        <v>2400</v>
      </c>
      <c r="K36" s="18">
        <f t="shared" si="1"/>
        <v>171.42857142857142</v>
      </c>
      <c r="L36" s="361">
        <v>14</v>
      </c>
      <c r="M36" s="19">
        <f t="shared" si="28"/>
        <v>2298.1065088757391</v>
      </c>
      <c r="N36" s="18">
        <f t="shared" si="3"/>
        <v>164.15046491969565</v>
      </c>
      <c r="O36" s="20">
        <f t="shared" si="4"/>
        <v>0</v>
      </c>
      <c r="P36" s="21">
        <f t="shared" si="5"/>
        <v>-7.2781065088757657</v>
      </c>
      <c r="Q36" s="358">
        <f t="shared" si="6"/>
        <v>0.95754437869822473</v>
      </c>
      <c r="R36" s="573"/>
      <c r="S36" s="49">
        <v>0.17291666666666666</v>
      </c>
      <c r="T36" s="49">
        <v>0.2902777777777778</v>
      </c>
      <c r="U36" s="359">
        <f t="shared" ref="U36:U41" si="30">(S36-T35)*24*60</f>
        <v>30.000000000000014</v>
      </c>
      <c r="V36" s="362">
        <f t="shared" si="29"/>
        <v>169.00000000000003</v>
      </c>
      <c r="W36" s="359"/>
      <c r="X36" s="359"/>
      <c r="Y36" s="359"/>
      <c r="Z36" s="359"/>
      <c r="AA36" s="575"/>
      <c r="AB36" s="575"/>
      <c r="AC36" s="50"/>
      <c r="AD36" s="27"/>
      <c r="AE36" s="20">
        <f t="shared" si="8"/>
        <v>-101.89349112426089</v>
      </c>
      <c r="AF36" s="358">
        <f t="shared" si="9"/>
        <v>0.95754437869822462</v>
      </c>
      <c r="AG36" s="573"/>
    </row>
    <row r="37" spans="1:33">
      <c r="A37" s="593" t="s">
        <v>2141</v>
      </c>
      <c r="B37" s="39" t="s">
        <v>94</v>
      </c>
      <c r="C37" s="574" t="s">
        <v>102</v>
      </c>
      <c r="D37" s="574"/>
      <c r="E37" s="39">
        <v>34.1</v>
      </c>
      <c r="F37" s="364">
        <v>3800</v>
      </c>
      <c r="G37" s="359">
        <f t="shared" si="27"/>
        <v>129580</v>
      </c>
      <c r="H37" s="48">
        <v>2</v>
      </c>
      <c r="I37" s="361">
        <v>17</v>
      </c>
      <c r="J37" s="43">
        <v>1600</v>
      </c>
      <c r="K37" s="18">
        <f t="shared" si="1"/>
        <v>94.117647058823536</v>
      </c>
      <c r="L37" s="361">
        <v>17</v>
      </c>
      <c r="M37" s="19">
        <f t="shared" si="28"/>
        <v>1530.2013422818789</v>
      </c>
      <c r="N37" s="18">
        <f t="shared" si="3"/>
        <v>90.011843663639937</v>
      </c>
      <c r="O37" s="20">
        <f t="shared" si="4"/>
        <v>0</v>
      </c>
      <c r="P37" s="21">
        <f t="shared" si="5"/>
        <v>-4.1058033951835995</v>
      </c>
      <c r="Q37" s="358">
        <f t="shared" si="6"/>
        <v>0.95637583892617428</v>
      </c>
      <c r="R37" s="573"/>
      <c r="S37" s="49">
        <v>0.29583333333333334</v>
      </c>
      <c r="T37" s="49">
        <v>0.39930555555555558</v>
      </c>
      <c r="U37" s="359">
        <f t="shared" si="30"/>
        <v>7.9999999999999716</v>
      </c>
      <c r="V37" s="362">
        <f t="shared" si="29"/>
        <v>149.00000000000003</v>
      </c>
      <c r="W37" s="359"/>
      <c r="X37" s="359"/>
      <c r="Y37" s="359"/>
      <c r="Z37" s="359"/>
      <c r="AA37" s="575"/>
      <c r="AB37" s="575"/>
      <c r="AC37" s="50"/>
      <c r="AD37" s="27"/>
      <c r="AE37" s="20">
        <f t="shared" si="8"/>
        <v>-69.798657718121149</v>
      </c>
      <c r="AF37" s="358">
        <f t="shared" si="9"/>
        <v>0.95637583892617428</v>
      </c>
      <c r="AG37" s="573"/>
    </row>
    <row r="38" spans="1:33">
      <c r="A38" s="593" t="s">
        <v>2141</v>
      </c>
      <c r="B38" s="39" t="s">
        <v>94</v>
      </c>
      <c r="C38" s="574" t="s">
        <v>101</v>
      </c>
      <c r="D38" s="574"/>
      <c r="E38" s="39">
        <v>25.98</v>
      </c>
      <c r="F38" s="364">
        <v>3106</v>
      </c>
      <c r="G38" s="359">
        <f t="shared" si="27"/>
        <v>80693.88</v>
      </c>
      <c r="H38" s="48" t="s">
        <v>126</v>
      </c>
      <c r="I38" s="361">
        <v>19</v>
      </c>
      <c r="J38" s="43">
        <v>2400</v>
      </c>
      <c r="K38" s="18">
        <f t="shared" si="1"/>
        <v>126.31578947368421</v>
      </c>
      <c r="L38" s="361">
        <v>19</v>
      </c>
      <c r="M38" s="19">
        <f t="shared" si="28"/>
        <v>2300.74074074074</v>
      </c>
      <c r="N38" s="18">
        <f t="shared" si="3"/>
        <v>121.09161793372316</v>
      </c>
      <c r="O38" s="20">
        <f t="shared" si="4"/>
        <v>0</v>
      </c>
      <c r="P38" s="21">
        <f t="shared" si="5"/>
        <v>-5.2241715399610484</v>
      </c>
      <c r="Q38" s="358">
        <f t="shared" si="6"/>
        <v>0.9586419753086417</v>
      </c>
      <c r="R38" s="573"/>
      <c r="S38" s="49">
        <v>0.40486111111111112</v>
      </c>
      <c r="T38" s="49">
        <v>0.46111111111111114</v>
      </c>
      <c r="U38" s="359">
        <f t="shared" si="30"/>
        <v>7.9999999999999716</v>
      </c>
      <c r="V38" s="362">
        <f t="shared" si="29"/>
        <v>81.000000000000028</v>
      </c>
      <c r="W38" s="25"/>
      <c r="X38" s="25"/>
      <c r="Y38" s="25"/>
      <c r="Z38" s="25"/>
      <c r="AA38" s="575"/>
      <c r="AB38" s="575"/>
      <c r="AC38" s="50"/>
      <c r="AD38" s="27"/>
      <c r="AE38" s="20">
        <f t="shared" si="8"/>
        <v>-99.259259259260034</v>
      </c>
      <c r="AF38" s="358">
        <f t="shared" si="9"/>
        <v>0.9586419753086417</v>
      </c>
      <c r="AG38" s="573"/>
    </row>
    <row r="39" spans="1:33">
      <c r="A39" s="593" t="s">
        <v>2141</v>
      </c>
      <c r="B39" s="39" t="s">
        <v>94</v>
      </c>
      <c r="C39" s="574" t="s">
        <v>103</v>
      </c>
      <c r="D39" s="574"/>
      <c r="E39" s="39">
        <v>20.2</v>
      </c>
      <c r="F39" s="364">
        <v>2147</v>
      </c>
      <c r="G39" s="359">
        <f t="shared" si="27"/>
        <v>43369.4</v>
      </c>
      <c r="H39" s="48" t="s">
        <v>126</v>
      </c>
      <c r="I39" s="361">
        <v>15</v>
      </c>
      <c r="J39" s="43">
        <v>2400</v>
      </c>
      <c r="K39" s="18">
        <f t="shared" si="1"/>
        <v>160</v>
      </c>
      <c r="L39" s="361">
        <v>15</v>
      </c>
      <c r="M39" s="19">
        <f t="shared" si="28"/>
        <v>2300.3571428571445</v>
      </c>
      <c r="N39" s="18">
        <f t="shared" si="3"/>
        <v>153.35714285714297</v>
      </c>
      <c r="O39" s="20">
        <f t="shared" si="4"/>
        <v>0</v>
      </c>
      <c r="P39" s="21">
        <f t="shared" si="5"/>
        <v>-6.6428571428570251</v>
      </c>
      <c r="Q39" s="358">
        <f t="shared" si="6"/>
        <v>0.95848214285714362</v>
      </c>
      <c r="R39" s="573"/>
      <c r="S39" s="49">
        <v>0.46527777777777779</v>
      </c>
      <c r="T39" s="49">
        <v>0.50416666666666665</v>
      </c>
      <c r="U39" s="359">
        <f t="shared" si="30"/>
        <v>5.9999999999999787</v>
      </c>
      <c r="V39" s="362">
        <f t="shared" si="29"/>
        <v>55.999999999999957</v>
      </c>
      <c r="W39" s="25">
        <f>T39</f>
        <v>0.50416666666666665</v>
      </c>
      <c r="X39" s="25">
        <f>S40</f>
        <v>0.54374999999999996</v>
      </c>
      <c r="Y39" s="25"/>
      <c r="Z39" s="25"/>
      <c r="AA39" s="575"/>
      <c r="AB39" s="575"/>
      <c r="AC39" s="50"/>
      <c r="AD39" s="27"/>
      <c r="AE39" s="20">
        <f t="shared" si="8"/>
        <v>-99.642857142855519</v>
      </c>
      <c r="AF39" s="358">
        <f t="shared" si="9"/>
        <v>0.9584821428571435</v>
      </c>
      <c r="AG39" s="573"/>
    </row>
    <row r="40" spans="1:33">
      <c r="A40" s="593" t="s">
        <v>2141</v>
      </c>
      <c r="B40" s="39" t="s">
        <v>94</v>
      </c>
      <c r="C40" s="574" t="s">
        <v>102</v>
      </c>
      <c r="D40" s="574"/>
      <c r="E40" s="39">
        <v>34.1</v>
      </c>
      <c r="F40" s="364">
        <v>3027</v>
      </c>
      <c r="G40" s="359">
        <f t="shared" si="27"/>
        <v>103220.7</v>
      </c>
      <c r="H40" s="48" t="s">
        <v>126</v>
      </c>
      <c r="I40" s="361">
        <v>17</v>
      </c>
      <c r="J40" s="43">
        <v>1600</v>
      </c>
      <c r="K40" s="18">
        <f t="shared" si="1"/>
        <v>94.117647058823536</v>
      </c>
      <c r="L40" s="361">
        <v>17</v>
      </c>
      <c r="M40" s="19">
        <f t="shared" si="28"/>
        <v>1526.2184873949573</v>
      </c>
      <c r="N40" s="18">
        <f t="shared" si="3"/>
        <v>89.777558082056316</v>
      </c>
      <c r="O40" s="20">
        <f t="shared" si="4"/>
        <v>0</v>
      </c>
      <c r="P40" s="21">
        <f t="shared" si="5"/>
        <v>-4.3400889767672197</v>
      </c>
      <c r="Q40" s="358">
        <f t="shared" si="6"/>
        <v>0.95388655462184835</v>
      </c>
      <c r="R40" s="573"/>
      <c r="S40" s="49">
        <v>0.54374999999999996</v>
      </c>
      <c r="T40" s="49">
        <v>0.62638888888888888</v>
      </c>
      <c r="U40" s="359">
        <f t="shared" si="30"/>
        <v>56.999999999999957</v>
      </c>
      <c r="V40" s="362">
        <f t="shared" si="29"/>
        <v>119.00000000000006</v>
      </c>
      <c r="W40" s="25"/>
      <c r="X40" s="25"/>
      <c r="Y40" s="25"/>
      <c r="Z40" s="25"/>
      <c r="AA40" s="575"/>
      <c r="AB40" s="575"/>
      <c r="AC40" s="50"/>
      <c r="AD40" s="27"/>
      <c r="AE40" s="20">
        <f t="shared" si="8"/>
        <v>-73.781512605042735</v>
      </c>
      <c r="AF40" s="358">
        <f t="shared" si="9"/>
        <v>0.95388655462184824</v>
      </c>
      <c r="AG40" s="573"/>
    </row>
    <row r="41" spans="1:33">
      <c r="A41" s="593" t="s">
        <v>2141</v>
      </c>
      <c r="B41" s="39" t="s">
        <v>94</v>
      </c>
      <c r="C41" s="574" t="s">
        <v>530</v>
      </c>
      <c r="D41" s="574"/>
      <c r="E41" s="39">
        <v>26.18</v>
      </c>
      <c r="F41" s="364">
        <v>2726</v>
      </c>
      <c r="G41" s="359">
        <f t="shared" si="27"/>
        <v>71366.679999999993</v>
      </c>
      <c r="H41" s="48" t="s">
        <v>126</v>
      </c>
      <c r="I41" s="361">
        <v>20</v>
      </c>
      <c r="J41" s="43">
        <v>2400</v>
      </c>
      <c r="K41" s="18">
        <f t="shared" si="1"/>
        <v>120</v>
      </c>
      <c r="L41" s="361">
        <v>20</v>
      </c>
      <c r="M41" s="19">
        <f t="shared" si="28"/>
        <v>2303.6619718309835</v>
      </c>
      <c r="N41" s="18">
        <f t="shared" si="3"/>
        <v>115.18309859154917</v>
      </c>
      <c r="O41" s="20">
        <f t="shared" si="4"/>
        <v>0</v>
      </c>
      <c r="P41" s="21">
        <f t="shared" si="5"/>
        <v>-4.8169014084508319</v>
      </c>
      <c r="Q41" s="358">
        <f t="shared" si="6"/>
        <v>0.95985915492957641</v>
      </c>
      <c r="R41" s="573"/>
      <c r="S41" s="49">
        <v>0.62986111111111109</v>
      </c>
      <c r="T41" s="49">
        <v>0.6791666666666667</v>
      </c>
      <c r="U41" s="359">
        <f t="shared" si="30"/>
        <v>4.9999999999999822</v>
      </c>
      <c r="V41" s="362">
        <f t="shared" si="29"/>
        <v>71.000000000000071</v>
      </c>
      <c r="W41" s="25"/>
      <c r="X41" s="25"/>
      <c r="Y41" s="28"/>
      <c r="Z41" s="28"/>
      <c r="AA41" s="568"/>
      <c r="AB41" s="569"/>
      <c r="AC41" s="50"/>
      <c r="AD41" s="27"/>
      <c r="AE41" s="20">
        <f t="shared" si="8"/>
        <v>-96.338028169016525</v>
      </c>
      <c r="AF41" s="358">
        <f t="shared" si="9"/>
        <v>0.95985915492957641</v>
      </c>
      <c r="AG41" s="573"/>
    </row>
    <row r="42" spans="1:33">
      <c r="A42" s="593" t="s">
        <v>2141</v>
      </c>
      <c r="B42" s="42" t="s">
        <v>2134</v>
      </c>
      <c r="C42" s="576"/>
      <c r="D42" s="576"/>
      <c r="E42" s="360"/>
      <c r="F42" s="42"/>
      <c r="G42" s="18"/>
      <c r="H42" s="364"/>
      <c r="I42" s="32">
        <v>17.428571428571427</v>
      </c>
      <c r="J42" s="43">
        <v>2171.4285714285716</v>
      </c>
      <c r="K42" s="18">
        <f t="shared" si="1"/>
        <v>124.59016393442624</v>
      </c>
      <c r="L42" s="32">
        <v>17.428571428571427</v>
      </c>
      <c r="M42" s="19">
        <f>AVERAGE(M35:M41)</f>
        <v>2080.3309281445354</v>
      </c>
      <c r="N42" s="18">
        <f t="shared" si="3"/>
        <v>119.36324997550614</v>
      </c>
      <c r="O42" s="20">
        <f t="shared" si="4"/>
        <v>0</v>
      </c>
      <c r="P42" s="21">
        <f t="shared" si="5"/>
        <v>-5.2269139589201075</v>
      </c>
      <c r="Q42" s="358">
        <f t="shared" si="6"/>
        <v>0.95804713796129914</v>
      </c>
      <c r="R42" s="573"/>
      <c r="S42" s="49"/>
      <c r="T42" s="49"/>
      <c r="U42" s="18"/>
      <c r="V42" s="362"/>
      <c r="W42" s="18"/>
      <c r="X42" s="18"/>
      <c r="Y42" s="33">
        <f>SUM(Y35:Y41)</f>
        <v>0</v>
      </c>
      <c r="Z42" s="33">
        <f>SUM(Z35:Z41)</f>
        <v>0</v>
      </c>
      <c r="AA42" s="572"/>
      <c r="AB42" s="572"/>
      <c r="AC42" s="33">
        <v>7</v>
      </c>
      <c r="AD42" s="33">
        <f>SUM(AD35:AD41)</f>
        <v>0</v>
      </c>
      <c r="AE42" s="20">
        <f t="shared" si="8"/>
        <v>-91.097643284036167</v>
      </c>
      <c r="AF42" s="358">
        <f t="shared" si="9"/>
        <v>0.95804713796129914</v>
      </c>
      <c r="AG42" s="573"/>
    </row>
    <row r="43" spans="1:33" ht="15.75" customHeight="1">
      <c r="A43" s="589" t="s">
        <v>2142</v>
      </c>
      <c r="B43" s="39" t="s">
        <v>104</v>
      </c>
      <c r="C43" s="566" t="s">
        <v>105</v>
      </c>
      <c r="D43" s="567"/>
      <c r="E43" s="39">
        <v>37.880000000000003</v>
      </c>
      <c r="F43" s="364">
        <v>2161</v>
      </c>
      <c r="G43" s="359">
        <f t="shared" ref="G43:G46" si="31">E43*F43</f>
        <v>81858.680000000008</v>
      </c>
      <c r="H43" s="48" t="s">
        <v>126</v>
      </c>
      <c r="I43" s="361">
        <v>13</v>
      </c>
      <c r="J43" s="43">
        <v>2000</v>
      </c>
      <c r="K43" s="18">
        <f t="shared" si="1"/>
        <v>153.84615384615384</v>
      </c>
      <c r="L43" s="361">
        <v>13</v>
      </c>
      <c r="M43" s="19">
        <f t="shared" ref="M43:M46" si="32">F43/V43*60</f>
        <v>1906.7647058823536</v>
      </c>
      <c r="N43" s="19">
        <f t="shared" si="3"/>
        <v>146.67420814479644</v>
      </c>
      <c r="O43" s="20">
        <f t="shared" si="4"/>
        <v>0</v>
      </c>
      <c r="P43" s="21">
        <f t="shared" si="5"/>
        <v>-7.1719457013574015</v>
      </c>
      <c r="Q43" s="358">
        <f t="shared" si="6"/>
        <v>0.9533823529411769</v>
      </c>
      <c r="R43" s="584">
        <f>Q47</f>
        <v>0.95369962652334939</v>
      </c>
      <c r="S43" s="49">
        <v>8.3333333333333329E-2</v>
      </c>
      <c r="T43" s="49">
        <v>0.13055555555555554</v>
      </c>
      <c r="U43" s="30"/>
      <c r="V43" s="362">
        <f t="shared" ref="V43:V46" si="33">(T43-S43)*24*60</f>
        <v>67.999999999999972</v>
      </c>
      <c r="W43" s="25">
        <f>T43</f>
        <v>0.13055555555555554</v>
      </c>
      <c r="X43" s="25">
        <f>S44</f>
        <v>0.15069444444444444</v>
      </c>
      <c r="Y43" s="28"/>
      <c r="Z43" s="28"/>
      <c r="AA43" s="568"/>
      <c r="AB43" s="569"/>
      <c r="AC43" s="50">
        <v>4</v>
      </c>
      <c r="AD43" s="27"/>
      <c r="AE43" s="20">
        <f t="shared" si="8"/>
        <v>-93.23529411764639</v>
      </c>
      <c r="AF43" s="358">
        <f t="shared" si="9"/>
        <v>0.95338235294117679</v>
      </c>
      <c r="AG43" s="584">
        <f>AF47</f>
        <v>0.9536996265233495</v>
      </c>
    </row>
    <row r="44" spans="1:33" ht="15.75" customHeight="1">
      <c r="A44" s="590" t="s">
        <v>2142</v>
      </c>
      <c r="B44" s="39" t="s">
        <v>104</v>
      </c>
      <c r="C44" s="566" t="s">
        <v>106</v>
      </c>
      <c r="D44" s="567"/>
      <c r="E44" s="39">
        <v>35.119999999999997</v>
      </c>
      <c r="F44" s="364">
        <v>4717</v>
      </c>
      <c r="G44" s="359">
        <f t="shared" si="31"/>
        <v>165661.03999999998</v>
      </c>
      <c r="H44" s="48" t="s">
        <v>126</v>
      </c>
      <c r="I44" s="361">
        <v>10</v>
      </c>
      <c r="J44" s="43">
        <v>3000</v>
      </c>
      <c r="K44" s="18">
        <f t="shared" si="1"/>
        <v>300</v>
      </c>
      <c r="L44" s="361">
        <v>10</v>
      </c>
      <c r="M44" s="19">
        <f t="shared" si="32"/>
        <v>2858.7878787878781</v>
      </c>
      <c r="N44" s="19">
        <f t="shared" si="3"/>
        <v>285.87878787878782</v>
      </c>
      <c r="O44" s="20">
        <f t="shared" si="4"/>
        <v>0</v>
      </c>
      <c r="P44" s="21">
        <f t="shared" si="5"/>
        <v>-14.121212121212182</v>
      </c>
      <c r="Q44" s="358">
        <f t="shared" si="6"/>
        <v>0.95292929292929274</v>
      </c>
      <c r="R44" s="585"/>
      <c r="S44" s="49">
        <v>0.15069444444444444</v>
      </c>
      <c r="T44" s="49">
        <v>0.21944444444444444</v>
      </c>
      <c r="U44" s="359">
        <f t="shared" ref="U44:U46" si="34">(S44-T43)*24*60</f>
        <v>29.000000000000018</v>
      </c>
      <c r="V44" s="362">
        <f t="shared" si="33"/>
        <v>99.000000000000014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-141.21212121212193</v>
      </c>
      <c r="AF44" s="358">
        <f t="shared" si="9"/>
        <v>0.95292929292929274</v>
      </c>
      <c r="AG44" s="585"/>
    </row>
    <row r="45" spans="1:33" ht="15.75" customHeight="1">
      <c r="A45" s="590" t="s">
        <v>2142</v>
      </c>
      <c r="B45" s="39" t="s">
        <v>104</v>
      </c>
      <c r="C45" s="566" t="s">
        <v>107</v>
      </c>
      <c r="D45" s="567"/>
      <c r="E45" s="39">
        <v>21.13</v>
      </c>
      <c r="F45" s="364">
        <v>4786</v>
      </c>
      <c r="G45" s="359">
        <f t="shared" si="31"/>
        <v>101128.18</v>
      </c>
      <c r="H45" s="48" t="s">
        <v>126</v>
      </c>
      <c r="I45" s="361">
        <v>10</v>
      </c>
      <c r="J45" s="43">
        <v>3000</v>
      </c>
      <c r="K45" s="18">
        <f t="shared" si="1"/>
        <v>300</v>
      </c>
      <c r="L45" s="361">
        <v>10</v>
      </c>
      <c r="M45" s="19">
        <f t="shared" si="32"/>
        <v>2871.6</v>
      </c>
      <c r="N45" s="19">
        <f t="shared" si="3"/>
        <v>287.15999999999997</v>
      </c>
      <c r="O45" s="20">
        <f t="shared" si="4"/>
        <v>0</v>
      </c>
      <c r="P45" s="21">
        <f t="shared" si="5"/>
        <v>-12.840000000000032</v>
      </c>
      <c r="Q45" s="358">
        <f t="shared" si="6"/>
        <v>0.95719999999999994</v>
      </c>
      <c r="R45" s="585"/>
      <c r="S45" s="49">
        <v>0.22430555555555556</v>
      </c>
      <c r="T45" s="49">
        <v>0.29375000000000001</v>
      </c>
      <c r="U45" s="359">
        <f t="shared" si="34"/>
        <v>7.0000000000000151</v>
      </c>
      <c r="V45" s="362">
        <f t="shared" si="33"/>
        <v>100</v>
      </c>
      <c r="W45" s="25"/>
      <c r="X45" s="25"/>
      <c r="Y45" s="28"/>
      <c r="Z45" s="28"/>
      <c r="AA45" s="568"/>
      <c r="AB45" s="569"/>
      <c r="AC45" s="50"/>
      <c r="AD45" s="27"/>
      <c r="AE45" s="20">
        <f t="shared" si="8"/>
        <v>-128.40000000000009</v>
      </c>
      <c r="AF45" s="358">
        <f t="shared" si="9"/>
        <v>0.95719999999999994</v>
      </c>
      <c r="AG45" s="585"/>
    </row>
    <row r="46" spans="1:33" ht="15.75" customHeight="1">
      <c r="A46" s="590" t="s">
        <v>2142</v>
      </c>
      <c r="B46" s="39" t="s">
        <v>104</v>
      </c>
      <c r="C46" s="566" t="s">
        <v>108</v>
      </c>
      <c r="D46" s="567"/>
      <c r="E46" s="39">
        <v>27.17</v>
      </c>
      <c r="F46" s="364">
        <v>6040</v>
      </c>
      <c r="G46" s="359">
        <f t="shared" si="31"/>
        <v>164106.80000000002</v>
      </c>
      <c r="H46" s="48" t="s">
        <v>126</v>
      </c>
      <c r="I46" s="361">
        <v>10</v>
      </c>
      <c r="J46" s="43">
        <v>3000</v>
      </c>
      <c r="K46" s="18">
        <f t="shared" si="1"/>
        <v>300</v>
      </c>
      <c r="L46" s="361">
        <v>10</v>
      </c>
      <c r="M46" s="19">
        <f t="shared" si="32"/>
        <v>2853.5433070866134</v>
      </c>
      <c r="N46" s="19">
        <f t="shared" si="3"/>
        <v>285.35433070866134</v>
      </c>
      <c r="O46" s="20">
        <f t="shared" si="4"/>
        <v>0</v>
      </c>
      <c r="P46" s="21">
        <f t="shared" si="5"/>
        <v>-14.645669291338663</v>
      </c>
      <c r="Q46" s="358">
        <f t="shared" si="6"/>
        <v>0.95118110236220443</v>
      </c>
      <c r="R46" s="585"/>
      <c r="S46" s="49">
        <v>0.29930555555555555</v>
      </c>
      <c r="T46" s="49">
        <v>0.38750000000000001</v>
      </c>
      <c r="U46" s="359">
        <f t="shared" si="34"/>
        <v>7.9999999999999716</v>
      </c>
      <c r="V46" s="362">
        <f t="shared" si="33"/>
        <v>127.00000000000003</v>
      </c>
      <c r="W46" s="25"/>
      <c r="X46" s="25"/>
      <c r="Y46" s="28"/>
      <c r="Z46" s="28"/>
      <c r="AA46" s="568"/>
      <c r="AB46" s="569"/>
      <c r="AC46" s="50"/>
      <c r="AD46" s="27"/>
      <c r="AE46" s="20">
        <f t="shared" si="8"/>
        <v>-146.45669291338663</v>
      </c>
      <c r="AF46" s="358">
        <f t="shared" si="9"/>
        <v>0.95118110236220443</v>
      </c>
      <c r="AG46" s="585"/>
    </row>
    <row r="47" spans="1:33" ht="15.75" customHeight="1">
      <c r="A47" s="591" t="s">
        <v>2142</v>
      </c>
      <c r="B47" s="39" t="s">
        <v>2134</v>
      </c>
      <c r="C47" s="570"/>
      <c r="D47" s="571"/>
      <c r="E47" s="356"/>
      <c r="F47" s="364"/>
      <c r="G47" s="359"/>
      <c r="H47" s="364"/>
      <c r="I47" s="32">
        <v>10.75</v>
      </c>
      <c r="J47" s="43">
        <v>2750</v>
      </c>
      <c r="K47" s="18">
        <f t="shared" si="1"/>
        <v>255.81395348837211</v>
      </c>
      <c r="L47" s="32">
        <v>10.75</v>
      </c>
      <c r="M47" s="19">
        <f>AVERAGE(M43:M46)</f>
        <v>2622.6739729392111</v>
      </c>
      <c r="N47" s="18">
        <f t="shared" si="3"/>
        <v>243.96967190132196</v>
      </c>
      <c r="O47" s="20">
        <f t="shared" si="4"/>
        <v>0</v>
      </c>
      <c r="P47" s="21">
        <f t="shared" si="5"/>
        <v>-11.844281587050148</v>
      </c>
      <c r="Q47" s="358">
        <f t="shared" si="6"/>
        <v>0.95369962652334939</v>
      </c>
      <c r="R47" s="586"/>
      <c r="S47" s="49"/>
      <c r="T47" s="49"/>
      <c r="U47" s="359"/>
      <c r="V47" s="362"/>
      <c r="W47" s="25"/>
      <c r="X47" s="25"/>
      <c r="Y47" s="33">
        <f>SUM(Y43:Y46)</f>
        <v>0</v>
      </c>
      <c r="Z47" s="33">
        <f>SUM(Z43:Z46)</f>
        <v>0</v>
      </c>
      <c r="AA47" s="587"/>
      <c r="AB47" s="588"/>
      <c r="AC47" s="33">
        <v>4</v>
      </c>
      <c r="AD47" s="33">
        <f>SUM(AD43:AD46)</f>
        <v>0</v>
      </c>
      <c r="AE47" s="20">
        <f t="shared" si="8"/>
        <v>-127.32602706078887</v>
      </c>
      <c r="AF47" s="358">
        <f t="shared" si="9"/>
        <v>0.9536996265233495</v>
      </c>
      <c r="AG47" s="586"/>
    </row>
    <row r="48" spans="1:33" ht="15.75" customHeight="1">
      <c r="A48" s="582" t="s">
        <v>2143</v>
      </c>
      <c r="B48" s="39" t="s">
        <v>79</v>
      </c>
      <c r="C48" s="574" t="s">
        <v>109</v>
      </c>
      <c r="D48" s="574"/>
      <c r="E48" s="39">
        <v>46</v>
      </c>
      <c r="F48" s="45">
        <v>2107</v>
      </c>
      <c r="G48" s="359">
        <f t="shared" ref="G48:G54" si="35">E48*F48</f>
        <v>96922</v>
      </c>
      <c r="H48" s="48" t="s">
        <v>126</v>
      </c>
      <c r="I48" s="361">
        <v>16</v>
      </c>
      <c r="J48" s="43">
        <v>2000</v>
      </c>
      <c r="K48" s="18">
        <f t="shared" si="1"/>
        <v>125</v>
      </c>
      <c r="L48" s="361">
        <v>16</v>
      </c>
      <c r="M48" s="19">
        <f t="shared" ref="M48" si="36">F48/V48*60</f>
        <v>1915.4545454545462</v>
      </c>
      <c r="N48" s="19">
        <f t="shared" si="3"/>
        <v>119.71590909090914</v>
      </c>
      <c r="O48" s="20">
        <f t="shared" si="4"/>
        <v>0</v>
      </c>
      <c r="P48" s="21">
        <f t="shared" si="5"/>
        <v>-5.2840909090908639</v>
      </c>
      <c r="Q48" s="358">
        <f t="shared" si="6"/>
        <v>0.95772727272727309</v>
      </c>
      <c r="R48" s="573">
        <f>Q55</f>
        <v>0.96307978842862518</v>
      </c>
      <c r="S48" s="49">
        <v>0.20833333333333334</v>
      </c>
      <c r="T48" s="49">
        <v>0.25416666666666665</v>
      </c>
      <c r="U48" s="30"/>
      <c r="V48" s="362">
        <f t="shared" ref="V48:V54" si="37">(T48-S48)*24*60</f>
        <v>65.999999999999972</v>
      </c>
      <c r="W48" s="30"/>
      <c r="X48" s="30"/>
      <c r="Y48" s="30"/>
      <c r="Z48" s="30"/>
      <c r="AA48" s="575"/>
      <c r="AB48" s="575"/>
      <c r="AC48" s="50">
        <v>7</v>
      </c>
      <c r="AD48" s="27"/>
      <c r="AE48" s="20">
        <f t="shared" si="8"/>
        <v>-84.545454545453822</v>
      </c>
      <c r="AF48" s="358">
        <f t="shared" si="9"/>
        <v>0.95772727272727309</v>
      </c>
      <c r="AG48" s="573">
        <f>AF55</f>
        <v>0.96307978842862518</v>
      </c>
    </row>
    <row r="49" spans="1:33" ht="15.75" customHeight="1">
      <c r="A49" s="582" t="s">
        <v>2143</v>
      </c>
      <c r="B49" s="39" t="s">
        <v>79</v>
      </c>
      <c r="C49" s="574" t="s">
        <v>1233</v>
      </c>
      <c r="D49" s="574"/>
      <c r="E49" s="39">
        <v>46</v>
      </c>
      <c r="F49" s="45">
        <v>3314</v>
      </c>
      <c r="G49" s="359">
        <f t="shared" si="35"/>
        <v>152444</v>
      </c>
      <c r="H49" s="48" t="s">
        <v>126</v>
      </c>
      <c r="I49" s="361">
        <v>16</v>
      </c>
      <c r="J49" s="43">
        <v>2000</v>
      </c>
      <c r="K49" s="18">
        <f t="shared" si="1"/>
        <v>125</v>
      </c>
      <c r="L49" s="361">
        <v>16</v>
      </c>
      <c r="M49" s="19">
        <f>F49/V49*60</f>
        <v>1911.9230769230765</v>
      </c>
      <c r="N49" s="19">
        <f t="shared" si="3"/>
        <v>119.49519230769228</v>
      </c>
      <c r="O49" s="20">
        <f t="shared" si="4"/>
        <v>0</v>
      </c>
      <c r="P49" s="21">
        <f t="shared" si="5"/>
        <v>-5.5048076923077218</v>
      </c>
      <c r="Q49" s="358">
        <f t="shared" si="6"/>
        <v>0.9559615384615382</v>
      </c>
      <c r="R49" s="573"/>
      <c r="S49" s="49">
        <v>0.25763888888888886</v>
      </c>
      <c r="T49" s="49">
        <v>0.3298611111111111</v>
      </c>
      <c r="U49" s="359">
        <f t="shared" ref="U49:U54" si="38">IF(S49=TIME(17,0,0),"",(S49-T48)*24*60)</f>
        <v>4.9999999999999822</v>
      </c>
      <c r="V49" s="362">
        <f t="shared" si="37"/>
        <v>104.00000000000003</v>
      </c>
      <c r="W49" s="25"/>
      <c r="X49" s="25"/>
      <c r="Y49" s="25"/>
      <c r="Z49" s="25"/>
      <c r="AA49" s="575"/>
      <c r="AB49" s="575"/>
      <c r="AC49" s="50"/>
      <c r="AD49" s="27"/>
      <c r="AE49" s="20">
        <f t="shared" si="8"/>
        <v>-88.076923076923549</v>
      </c>
      <c r="AF49" s="358">
        <f t="shared" si="9"/>
        <v>0.9559615384615382</v>
      </c>
      <c r="AG49" s="573"/>
    </row>
    <row r="50" spans="1:33" ht="15.75" customHeight="1">
      <c r="A50" s="582" t="s">
        <v>2143</v>
      </c>
      <c r="B50" s="39" t="s">
        <v>74</v>
      </c>
      <c r="C50" s="566" t="s">
        <v>111</v>
      </c>
      <c r="D50" s="567"/>
      <c r="E50" s="39">
        <v>51.75</v>
      </c>
      <c r="F50" s="45">
        <v>779</v>
      </c>
      <c r="G50" s="359">
        <f t="shared" si="35"/>
        <v>40313.25</v>
      </c>
      <c r="H50" s="48" t="s">
        <v>126</v>
      </c>
      <c r="I50" s="361">
        <v>25</v>
      </c>
      <c r="J50" s="43">
        <v>2000</v>
      </c>
      <c r="K50" s="18">
        <f t="shared" si="1"/>
        <v>80</v>
      </c>
      <c r="L50" s="361">
        <v>25</v>
      </c>
      <c r="M50" s="19">
        <f t="shared" ref="M50:M54" si="39">F50/V50*60</f>
        <v>1947.5000000000005</v>
      </c>
      <c r="N50" s="19">
        <f t="shared" si="3"/>
        <v>77.90000000000002</v>
      </c>
      <c r="O50" s="20">
        <f t="shared" si="4"/>
        <v>0</v>
      </c>
      <c r="P50" s="21">
        <f t="shared" si="5"/>
        <v>-2.0999999999999801</v>
      </c>
      <c r="Q50" s="358">
        <f t="shared" si="6"/>
        <v>0.97375000000000023</v>
      </c>
      <c r="R50" s="573"/>
      <c r="S50" s="49">
        <v>0.33402777777777776</v>
      </c>
      <c r="T50" s="49">
        <v>0.35069444444444442</v>
      </c>
      <c r="U50" s="359">
        <f t="shared" si="38"/>
        <v>5.9999999999999787</v>
      </c>
      <c r="V50" s="362">
        <f t="shared" si="37"/>
        <v>23.999999999999993</v>
      </c>
      <c r="W50" s="25"/>
      <c r="X50" s="25"/>
      <c r="Y50" s="28"/>
      <c r="Z50" s="28"/>
      <c r="AA50" s="575"/>
      <c r="AB50" s="575"/>
      <c r="AC50" s="50"/>
      <c r="AD50" s="27"/>
      <c r="AE50" s="20">
        <f t="shared" si="8"/>
        <v>-52.499999999999545</v>
      </c>
      <c r="AF50" s="358">
        <f t="shared" si="9"/>
        <v>0.97375000000000023</v>
      </c>
      <c r="AG50" s="573"/>
    </row>
    <row r="51" spans="1:33" ht="15.75" customHeight="1">
      <c r="A51" s="582" t="s">
        <v>2143</v>
      </c>
      <c r="B51" s="39" t="s">
        <v>74</v>
      </c>
      <c r="C51" s="352" t="s">
        <v>110</v>
      </c>
      <c r="D51" s="353"/>
      <c r="E51" s="39">
        <v>56.43</v>
      </c>
      <c r="F51" s="45">
        <v>1378</v>
      </c>
      <c r="G51" s="359">
        <f t="shared" si="35"/>
        <v>77760.539999999994</v>
      </c>
      <c r="H51" s="48" t="s">
        <v>126</v>
      </c>
      <c r="I51" s="361">
        <v>22</v>
      </c>
      <c r="J51" s="43">
        <v>2000</v>
      </c>
      <c r="K51" s="18">
        <f t="shared" si="1"/>
        <v>90.909090909090907</v>
      </c>
      <c r="L51" s="361">
        <v>22</v>
      </c>
      <c r="M51" s="19">
        <f t="shared" si="39"/>
        <v>1922.7906976744184</v>
      </c>
      <c r="N51" s="19">
        <f t="shared" si="3"/>
        <v>87.399577167019018</v>
      </c>
      <c r="O51" s="20">
        <f t="shared" si="4"/>
        <v>0</v>
      </c>
      <c r="P51" s="21">
        <f t="shared" si="5"/>
        <v>-3.5095137420718885</v>
      </c>
      <c r="Q51" s="358">
        <f t="shared" si="6"/>
        <v>0.96139534883720923</v>
      </c>
      <c r="R51" s="573"/>
      <c r="S51" s="49">
        <v>0.35416666666666663</v>
      </c>
      <c r="T51" s="49">
        <v>0.38402777777777775</v>
      </c>
      <c r="U51" s="359">
        <f t="shared" si="38"/>
        <v>4.9999999999999822</v>
      </c>
      <c r="V51" s="362">
        <f t="shared" si="37"/>
        <v>43.000000000000007</v>
      </c>
      <c r="W51" s="25"/>
      <c r="X51" s="25"/>
      <c r="Y51" s="28"/>
      <c r="Z51" s="28"/>
      <c r="AA51" s="575"/>
      <c r="AB51" s="575"/>
      <c r="AC51" s="50"/>
      <c r="AD51" s="27"/>
      <c r="AE51" s="20">
        <f t="shared" si="8"/>
        <v>-77.209302325581575</v>
      </c>
      <c r="AF51" s="358">
        <f t="shared" si="9"/>
        <v>0.96139534883720923</v>
      </c>
      <c r="AG51" s="573"/>
    </row>
    <row r="52" spans="1:33" ht="15.75" customHeight="1">
      <c r="A52" s="582" t="s">
        <v>2143</v>
      </c>
      <c r="B52" s="39" t="s">
        <v>74</v>
      </c>
      <c r="C52" s="352" t="s">
        <v>88</v>
      </c>
      <c r="D52" s="353"/>
      <c r="E52" s="39">
        <v>59.04</v>
      </c>
      <c r="F52" s="45">
        <v>3722</v>
      </c>
      <c r="G52" s="359">
        <f t="shared" si="35"/>
        <v>219746.88</v>
      </c>
      <c r="H52" s="48" t="s">
        <v>126</v>
      </c>
      <c r="I52" s="361">
        <v>19</v>
      </c>
      <c r="J52" s="43">
        <v>2000</v>
      </c>
      <c r="K52" s="18">
        <f t="shared" si="1"/>
        <v>105.26315789473684</v>
      </c>
      <c r="L52" s="361">
        <v>19</v>
      </c>
      <c r="M52" s="19">
        <f t="shared" si="39"/>
        <v>1908.717948717949</v>
      </c>
      <c r="N52" s="19">
        <f t="shared" si="3"/>
        <v>100.45883940620784</v>
      </c>
      <c r="O52" s="20">
        <f t="shared" si="4"/>
        <v>0</v>
      </c>
      <c r="P52" s="21">
        <f t="shared" si="5"/>
        <v>-4.8043184885289918</v>
      </c>
      <c r="Q52" s="358">
        <f t="shared" si="6"/>
        <v>0.95435897435897454</v>
      </c>
      <c r="R52" s="573"/>
      <c r="S52" s="49">
        <v>0.38749999999999996</v>
      </c>
      <c r="T52" s="49">
        <v>0.46874999999999994</v>
      </c>
      <c r="U52" s="359">
        <f t="shared" si="38"/>
        <v>4.9999999999999822</v>
      </c>
      <c r="V52" s="362">
        <f t="shared" si="37"/>
        <v>116.99999999999999</v>
      </c>
      <c r="W52" s="25"/>
      <c r="X52" s="25"/>
      <c r="Y52" s="28"/>
      <c r="Z52" s="28"/>
      <c r="AA52" s="575"/>
      <c r="AB52" s="575"/>
      <c r="AC52" s="50"/>
      <c r="AD52" s="27"/>
      <c r="AE52" s="20">
        <f t="shared" si="8"/>
        <v>-91.282051282051043</v>
      </c>
      <c r="AF52" s="358">
        <f t="shared" si="9"/>
        <v>0.95435897435897443</v>
      </c>
      <c r="AG52" s="573"/>
    </row>
    <row r="53" spans="1:33" ht="15.75" customHeight="1">
      <c r="A53" s="582" t="s">
        <v>2143</v>
      </c>
      <c r="B53" s="39" t="s">
        <v>74</v>
      </c>
      <c r="C53" s="566" t="s">
        <v>113</v>
      </c>
      <c r="D53" s="567"/>
      <c r="E53" s="39">
        <v>55.56</v>
      </c>
      <c r="F53" s="45">
        <v>1659</v>
      </c>
      <c r="G53" s="359">
        <f t="shared" si="35"/>
        <v>92174.040000000008</v>
      </c>
      <c r="H53" s="48" t="s">
        <v>126</v>
      </c>
      <c r="I53" s="361">
        <v>17</v>
      </c>
      <c r="J53" s="43">
        <v>2000</v>
      </c>
      <c r="K53" s="18">
        <f t="shared" si="1"/>
        <v>117.64705882352941</v>
      </c>
      <c r="L53" s="361">
        <v>17</v>
      </c>
      <c r="M53" s="19">
        <f t="shared" si="39"/>
        <v>1914.2307692307702</v>
      </c>
      <c r="N53" s="19">
        <f t="shared" si="3"/>
        <v>112.60180995475119</v>
      </c>
      <c r="O53" s="20">
        <f t="shared" si="4"/>
        <v>0</v>
      </c>
      <c r="P53" s="21">
        <f t="shared" si="5"/>
        <v>-5.0452488687782164</v>
      </c>
      <c r="Q53" s="358">
        <f t="shared" si="6"/>
        <v>0.95711538461538515</v>
      </c>
      <c r="R53" s="573"/>
      <c r="S53" s="49">
        <v>0.70833333333333337</v>
      </c>
      <c r="T53" s="49">
        <v>0.74444444444444446</v>
      </c>
      <c r="U53" s="359" t="str">
        <f t="shared" si="38"/>
        <v/>
      </c>
      <c r="V53" s="362">
        <f t="shared" si="37"/>
        <v>51.999999999999972</v>
      </c>
      <c r="W53" s="25"/>
      <c r="X53" s="25"/>
      <c r="Y53" s="28"/>
      <c r="Z53" s="28"/>
      <c r="AA53" s="568"/>
      <c r="AB53" s="569"/>
      <c r="AC53" s="50"/>
      <c r="AD53" s="27"/>
      <c r="AE53" s="20">
        <f t="shared" si="8"/>
        <v>-85.769230769229807</v>
      </c>
      <c r="AF53" s="358">
        <f t="shared" si="9"/>
        <v>0.95711538461538515</v>
      </c>
      <c r="AG53" s="573"/>
    </row>
    <row r="54" spans="1:33" ht="15.75" customHeight="1">
      <c r="A54" s="582" t="s">
        <v>2143</v>
      </c>
      <c r="B54" s="39" t="s">
        <v>74</v>
      </c>
      <c r="C54" s="566" t="s">
        <v>114</v>
      </c>
      <c r="D54" s="567"/>
      <c r="E54" s="39">
        <v>54.29</v>
      </c>
      <c r="F54" s="45">
        <v>785</v>
      </c>
      <c r="G54" s="359">
        <f t="shared" si="35"/>
        <v>42617.65</v>
      </c>
      <c r="H54" s="48" t="s">
        <v>126</v>
      </c>
      <c r="I54" s="361">
        <v>20</v>
      </c>
      <c r="J54" s="43">
        <v>2000</v>
      </c>
      <c r="K54" s="18">
        <f t="shared" si="1"/>
        <v>100</v>
      </c>
      <c r="L54" s="361">
        <v>20</v>
      </c>
      <c r="M54" s="19">
        <f t="shared" si="39"/>
        <v>1962.4999999999936</v>
      </c>
      <c r="N54" s="19">
        <f t="shared" si="3"/>
        <v>98.124999999999687</v>
      </c>
      <c r="O54" s="20">
        <f t="shared" si="4"/>
        <v>0</v>
      </c>
      <c r="P54" s="21">
        <f t="shared" si="5"/>
        <v>-1.8750000000003126</v>
      </c>
      <c r="Q54" s="358">
        <f t="shared" si="6"/>
        <v>0.98124999999999685</v>
      </c>
      <c r="R54" s="573"/>
      <c r="S54" s="49">
        <v>0.74791666666666667</v>
      </c>
      <c r="T54" s="49">
        <v>0.76458333333333339</v>
      </c>
      <c r="U54" s="359">
        <f t="shared" si="38"/>
        <v>4.9999999999999822</v>
      </c>
      <c r="V54" s="362">
        <f t="shared" si="37"/>
        <v>24.000000000000075</v>
      </c>
      <c r="W54" s="25"/>
      <c r="X54" s="25"/>
      <c r="Y54" s="28"/>
      <c r="Z54" s="28"/>
      <c r="AA54" s="568"/>
      <c r="AB54" s="569"/>
      <c r="AC54" s="50"/>
      <c r="AD54" s="27"/>
      <c r="AE54" s="20">
        <f t="shared" si="8"/>
        <v>-37.500000000006366</v>
      </c>
      <c r="AF54" s="358">
        <f t="shared" si="9"/>
        <v>0.98124999999999685</v>
      </c>
      <c r="AG54" s="573"/>
    </row>
    <row r="55" spans="1:33">
      <c r="A55" s="583" t="s">
        <v>2143</v>
      </c>
      <c r="B55" s="39" t="s">
        <v>2134</v>
      </c>
      <c r="C55" s="576"/>
      <c r="D55" s="576"/>
      <c r="E55" s="360"/>
      <c r="F55" s="42"/>
      <c r="G55" s="18"/>
      <c r="H55" s="364"/>
      <c r="I55" s="32">
        <v>19.285714285714285</v>
      </c>
      <c r="J55" s="43">
        <v>2000</v>
      </c>
      <c r="K55" s="18">
        <f t="shared" si="1"/>
        <v>103.70370370370371</v>
      </c>
      <c r="L55" s="32">
        <v>19.285714285714285</v>
      </c>
      <c r="M55" s="19">
        <f>AVERAGE(M48:M54)</f>
        <v>1926.1595768572504</v>
      </c>
      <c r="N55" s="18">
        <f t="shared" si="3"/>
        <v>99.874941022227802</v>
      </c>
      <c r="O55" s="20">
        <f t="shared" si="4"/>
        <v>0</v>
      </c>
      <c r="P55" s="21">
        <f t="shared" si="5"/>
        <v>-3.8287626814759079</v>
      </c>
      <c r="Q55" s="358">
        <f t="shared" si="6"/>
        <v>0.96307978842862518</v>
      </c>
      <c r="R55" s="573"/>
      <c r="S55" s="49"/>
      <c r="T55" s="49"/>
      <c r="U55" s="359"/>
      <c r="V55" s="362"/>
      <c r="W55" s="18"/>
      <c r="X55" s="18"/>
      <c r="Y55" s="33">
        <f>SUM(Y48:Y54)</f>
        <v>0</v>
      </c>
      <c r="Z55" s="33">
        <f>SUM(Z48:Z54)</f>
        <v>0</v>
      </c>
      <c r="AA55" s="572"/>
      <c r="AB55" s="572"/>
      <c r="AC55" s="33">
        <v>7</v>
      </c>
      <c r="AD55" s="33">
        <f>SUM(AD48:AD54)</f>
        <v>0</v>
      </c>
      <c r="AE55" s="20">
        <f>M55-J55</f>
        <v>-73.840423142749614</v>
      </c>
      <c r="AF55" s="358">
        <f t="shared" si="9"/>
        <v>0.96307978842862518</v>
      </c>
      <c r="AG55" s="573"/>
    </row>
    <row r="56" spans="1:33" ht="15.75" customHeight="1">
      <c r="A56" s="580" t="s">
        <v>2144</v>
      </c>
      <c r="B56" s="364" t="s">
        <v>104</v>
      </c>
      <c r="C56" s="574" t="s">
        <v>115</v>
      </c>
      <c r="D56" s="574"/>
      <c r="E56" s="39">
        <v>34.36</v>
      </c>
      <c r="F56" s="45">
        <v>2050</v>
      </c>
      <c r="G56" s="359">
        <f t="shared" ref="G56:G60" si="40">E56*F56</f>
        <v>70438</v>
      </c>
      <c r="H56" s="48" t="s">
        <v>126</v>
      </c>
      <c r="I56" s="361">
        <v>10</v>
      </c>
      <c r="J56" s="43">
        <v>3000</v>
      </c>
      <c r="K56" s="18">
        <f t="shared" si="1"/>
        <v>300</v>
      </c>
      <c r="L56" s="361">
        <v>10</v>
      </c>
      <c r="M56" s="19">
        <f t="shared" ref="M56:M60" si="41">F56/V56*60</f>
        <v>2860.4651162790692</v>
      </c>
      <c r="N56" s="18">
        <f t="shared" si="3"/>
        <v>286.04651162790691</v>
      </c>
      <c r="O56" s="20">
        <f t="shared" si="4"/>
        <v>0</v>
      </c>
      <c r="P56" s="21">
        <f t="shared" si="5"/>
        <v>-13.953488372093091</v>
      </c>
      <c r="Q56" s="358">
        <f t="shared" si="6"/>
        <v>0.95348837209302306</v>
      </c>
      <c r="R56" s="573">
        <f>Q61</f>
        <v>0.95838403100775182</v>
      </c>
      <c r="S56" s="49">
        <v>0.20833333333333334</v>
      </c>
      <c r="T56" s="49">
        <v>0.23819444444444446</v>
      </c>
      <c r="U56" s="359"/>
      <c r="V56" s="362">
        <f t="shared" ref="V56:V60" si="42">(T56-S56)*24*60</f>
        <v>43.000000000000007</v>
      </c>
      <c r="W56" s="30"/>
      <c r="X56" s="30"/>
      <c r="Y56" s="30"/>
      <c r="Z56" s="30"/>
      <c r="AA56" s="575"/>
      <c r="AB56" s="575"/>
      <c r="AC56" s="50">
        <v>5</v>
      </c>
      <c r="AD56" s="27"/>
      <c r="AE56" s="20">
        <f t="shared" ref="AE56:AE70" si="43">M56-J56</f>
        <v>-139.53488372093079</v>
      </c>
      <c r="AF56" s="358">
        <f t="shared" si="9"/>
        <v>0.95348837209302306</v>
      </c>
      <c r="AG56" s="573">
        <f>AF61</f>
        <v>0.95838403100775194</v>
      </c>
    </row>
    <row r="57" spans="1:33" ht="15.75" customHeight="1">
      <c r="A57" s="580" t="s">
        <v>2144</v>
      </c>
      <c r="B57" s="364" t="s">
        <v>104</v>
      </c>
      <c r="C57" s="574" t="s">
        <v>116</v>
      </c>
      <c r="D57" s="574"/>
      <c r="E57" s="39">
        <v>34.36</v>
      </c>
      <c r="F57" s="45">
        <v>1104</v>
      </c>
      <c r="G57" s="359">
        <f t="shared" si="40"/>
        <v>37933.440000000002</v>
      </c>
      <c r="H57" s="48" t="s">
        <v>126</v>
      </c>
      <c r="I57" s="361">
        <v>10</v>
      </c>
      <c r="J57" s="43">
        <v>3000</v>
      </c>
      <c r="K57" s="18">
        <f t="shared" si="1"/>
        <v>300</v>
      </c>
      <c r="L57" s="361">
        <v>10</v>
      </c>
      <c r="M57" s="19">
        <f t="shared" si="41"/>
        <v>2880</v>
      </c>
      <c r="N57" s="18">
        <f t="shared" si="3"/>
        <v>288</v>
      </c>
      <c r="O57" s="20">
        <f t="shared" si="4"/>
        <v>0</v>
      </c>
      <c r="P57" s="21">
        <f t="shared" si="5"/>
        <v>-12</v>
      </c>
      <c r="Q57" s="358">
        <f t="shared" si="6"/>
        <v>0.96</v>
      </c>
      <c r="R57" s="573"/>
      <c r="S57" s="49">
        <v>0.24375000000000002</v>
      </c>
      <c r="T57" s="49">
        <v>0.25972222222222224</v>
      </c>
      <c r="U57" s="359">
        <f t="shared" ref="U57:U60" si="44">(S57-T56)*24*60</f>
        <v>8.0000000000000107</v>
      </c>
      <c r="V57" s="362">
        <f t="shared" si="42"/>
        <v>23</v>
      </c>
      <c r="W57" s="359"/>
      <c r="X57" s="359"/>
      <c r="Y57" s="359"/>
      <c r="Z57" s="359"/>
      <c r="AA57" s="575"/>
      <c r="AB57" s="575"/>
      <c r="AC57" s="50"/>
      <c r="AD57" s="27"/>
      <c r="AE57" s="20">
        <f t="shared" si="43"/>
        <v>-120</v>
      </c>
      <c r="AF57" s="358">
        <f t="shared" si="9"/>
        <v>0.96</v>
      </c>
      <c r="AG57" s="573"/>
    </row>
    <row r="58" spans="1:33" ht="15.75" customHeight="1">
      <c r="A58" s="580" t="s">
        <v>2144</v>
      </c>
      <c r="B58" s="364" t="s">
        <v>104</v>
      </c>
      <c r="C58" s="574" t="s">
        <v>117</v>
      </c>
      <c r="D58" s="574"/>
      <c r="E58" s="39">
        <v>26.78</v>
      </c>
      <c r="F58" s="45">
        <v>2294</v>
      </c>
      <c r="G58" s="359">
        <f t="shared" si="40"/>
        <v>61433.32</v>
      </c>
      <c r="H58" s="48" t="s">
        <v>126</v>
      </c>
      <c r="I58" s="361">
        <v>10</v>
      </c>
      <c r="J58" s="43">
        <v>3000</v>
      </c>
      <c r="K58" s="18">
        <f t="shared" si="1"/>
        <v>300</v>
      </c>
      <c r="L58" s="361">
        <v>10</v>
      </c>
      <c r="M58" s="19">
        <f t="shared" si="41"/>
        <v>2867.5000000000009</v>
      </c>
      <c r="N58" s="18">
        <f t="shared" si="3"/>
        <v>286.75000000000011</v>
      </c>
      <c r="O58" s="20">
        <f t="shared" si="4"/>
        <v>0</v>
      </c>
      <c r="P58" s="21">
        <f t="shared" si="5"/>
        <v>-13.249999999999886</v>
      </c>
      <c r="Q58" s="358">
        <f t="shared" si="6"/>
        <v>0.95583333333333376</v>
      </c>
      <c r="R58" s="573"/>
      <c r="S58" s="49">
        <v>0.26527777777777778</v>
      </c>
      <c r="T58" s="49">
        <v>0.2986111111111111</v>
      </c>
      <c r="U58" s="359">
        <f t="shared" si="44"/>
        <v>7.9999999999999716</v>
      </c>
      <c r="V58" s="362">
        <f t="shared" si="42"/>
        <v>47.999999999999986</v>
      </c>
      <c r="W58" s="359"/>
      <c r="X58" s="359"/>
      <c r="Y58" s="359"/>
      <c r="Z58" s="359"/>
      <c r="AA58" s="575"/>
      <c r="AB58" s="575"/>
      <c r="AC58" s="50"/>
      <c r="AD58" s="27"/>
      <c r="AE58" s="20">
        <f t="shared" si="43"/>
        <v>-132.49999999999909</v>
      </c>
      <c r="AF58" s="358">
        <f t="shared" si="9"/>
        <v>0.95583333333333365</v>
      </c>
      <c r="AG58" s="573"/>
    </row>
    <row r="59" spans="1:33" ht="15.75" customHeight="1">
      <c r="A59" s="580" t="s">
        <v>2144</v>
      </c>
      <c r="B59" s="364" t="s">
        <v>104</v>
      </c>
      <c r="C59" s="574" t="s">
        <v>119</v>
      </c>
      <c r="D59" s="574"/>
      <c r="E59" s="39">
        <v>35.869999999999997</v>
      </c>
      <c r="F59" s="45">
        <v>3608</v>
      </c>
      <c r="G59" s="359">
        <f t="shared" si="40"/>
        <v>129418.95999999999</v>
      </c>
      <c r="H59" s="48" t="s">
        <v>126</v>
      </c>
      <c r="I59" s="361">
        <v>9</v>
      </c>
      <c r="J59" s="43">
        <v>3000</v>
      </c>
      <c r="K59" s="18">
        <f t="shared" si="1"/>
        <v>333.33333333333331</v>
      </c>
      <c r="L59" s="361">
        <v>9</v>
      </c>
      <c r="M59" s="19">
        <f t="shared" si="41"/>
        <v>2886.400000000001</v>
      </c>
      <c r="N59" s="18">
        <f t="shared" si="3"/>
        <v>320.71111111111122</v>
      </c>
      <c r="O59" s="20">
        <f t="shared" si="4"/>
        <v>0</v>
      </c>
      <c r="P59" s="21">
        <f t="shared" si="5"/>
        <v>-12.622222222222092</v>
      </c>
      <c r="Q59" s="358">
        <f t="shared" si="6"/>
        <v>0.96213333333333373</v>
      </c>
      <c r="R59" s="573"/>
      <c r="S59" s="49">
        <v>0.30277777777777776</v>
      </c>
      <c r="T59" s="49">
        <v>0.35486111111111107</v>
      </c>
      <c r="U59" s="359">
        <f t="shared" si="44"/>
        <v>5.9999999999999787</v>
      </c>
      <c r="V59" s="362">
        <f t="shared" si="42"/>
        <v>74.999999999999972</v>
      </c>
      <c r="W59" s="359"/>
      <c r="X59" s="359"/>
      <c r="Y59" s="359"/>
      <c r="Z59" s="359"/>
      <c r="AA59" s="575"/>
      <c r="AB59" s="575"/>
      <c r="AC59" s="50"/>
      <c r="AD59" s="27"/>
      <c r="AE59" s="20">
        <f t="shared" si="43"/>
        <v>-113.599999999999</v>
      </c>
      <c r="AF59" s="358">
        <f t="shared" si="9"/>
        <v>0.96213333333333362</v>
      </c>
      <c r="AG59" s="573"/>
    </row>
    <row r="60" spans="1:33">
      <c r="A60" s="581" t="s">
        <v>2144</v>
      </c>
      <c r="B60" s="364" t="s">
        <v>104</v>
      </c>
      <c r="C60" s="574" t="s">
        <v>120</v>
      </c>
      <c r="D60" s="574"/>
      <c r="E60" s="39">
        <v>34.35</v>
      </c>
      <c r="F60" s="45">
        <v>2065</v>
      </c>
      <c r="G60" s="359">
        <f t="shared" si="40"/>
        <v>70932.75</v>
      </c>
      <c r="H60" s="48" t="s">
        <v>126</v>
      </c>
      <c r="I60" s="361">
        <v>8</v>
      </c>
      <c r="J60" s="43">
        <v>3000</v>
      </c>
      <c r="K60" s="18">
        <f t="shared" si="1"/>
        <v>375</v>
      </c>
      <c r="L60" s="361">
        <v>8</v>
      </c>
      <c r="M60" s="19">
        <f t="shared" si="41"/>
        <v>2881.395348837209</v>
      </c>
      <c r="N60" s="18">
        <f t="shared" si="3"/>
        <v>360.17441860465112</v>
      </c>
      <c r="O60" s="20">
        <f t="shared" si="4"/>
        <v>0</v>
      </c>
      <c r="P60" s="21">
        <f t="shared" si="5"/>
        <v>-14.825581395348877</v>
      </c>
      <c r="Q60" s="358">
        <f t="shared" si="6"/>
        <v>0.96046511627906961</v>
      </c>
      <c r="R60" s="573"/>
      <c r="S60" s="49">
        <v>0.36041666666666661</v>
      </c>
      <c r="T60" s="49">
        <v>0.39027777777777772</v>
      </c>
      <c r="U60" s="359">
        <f t="shared" si="44"/>
        <v>7.9999999999999716</v>
      </c>
      <c r="V60" s="362">
        <f t="shared" si="42"/>
        <v>43.000000000000007</v>
      </c>
      <c r="W60" s="25"/>
      <c r="X60" s="25"/>
      <c r="Y60" s="25"/>
      <c r="Z60" s="25"/>
      <c r="AA60" s="575"/>
      <c r="AB60" s="575"/>
      <c r="AC60" s="50"/>
      <c r="AD60" s="27"/>
      <c r="AE60" s="20">
        <f t="shared" si="43"/>
        <v>-118.60465116279101</v>
      </c>
      <c r="AF60" s="358">
        <f t="shared" si="9"/>
        <v>0.96046511627906961</v>
      </c>
      <c r="AG60" s="573"/>
    </row>
    <row r="61" spans="1:33">
      <c r="A61" s="581" t="s">
        <v>2144</v>
      </c>
      <c r="B61" s="39" t="s">
        <v>2134</v>
      </c>
      <c r="C61" s="576"/>
      <c r="D61" s="576"/>
      <c r="E61" s="360"/>
      <c r="F61" s="42"/>
      <c r="G61" s="18"/>
      <c r="H61" s="364"/>
      <c r="I61" s="32">
        <v>9.4</v>
      </c>
      <c r="J61" s="43">
        <v>3000</v>
      </c>
      <c r="K61" s="18">
        <f t="shared" si="1"/>
        <v>319.14893617021278</v>
      </c>
      <c r="L61" s="32">
        <v>9.4</v>
      </c>
      <c r="M61" s="19">
        <f>AVERAGE(M56:M60)</f>
        <v>2875.1520930232559</v>
      </c>
      <c r="N61" s="18">
        <f t="shared" si="3"/>
        <v>305.86724393864421</v>
      </c>
      <c r="O61" s="20">
        <f t="shared" si="4"/>
        <v>0</v>
      </c>
      <c r="P61" s="21">
        <f t="shared" si="5"/>
        <v>-13.28169223156857</v>
      </c>
      <c r="Q61" s="358">
        <f t="shared" si="6"/>
        <v>0.95838403100775182</v>
      </c>
      <c r="R61" s="573"/>
      <c r="S61" s="49"/>
      <c r="T61" s="49"/>
      <c r="U61" s="18"/>
      <c r="V61" s="362"/>
      <c r="W61" s="18"/>
      <c r="X61" s="18"/>
      <c r="Y61" s="33">
        <f>SUM(Y56:Y60)</f>
        <v>0</v>
      </c>
      <c r="Z61" s="33">
        <f>SUM(Z56:Z60)</f>
        <v>0</v>
      </c>
      <c r="AA61" s="572"/>
      <c r="AB61" s="572"/>
      <c r="AC61" s="33">
        <v>5</v>
      </c>
      <c r="AD61" s="33">
        <f>SUM(AD56:AD60)</f>
        <v>0</v>
      </c>
      <c r="AE61" s="20">
        <f t="shared" si="43"/>
        <v>-124.84790697674407</v>
      </c>
      <c r="AF61" s="358">
        <f t="shared" si="9"/>
        <v>0.95838403100775194</v>
      </c>
      <c r="AG61" s="573"/>
    </row>
    <row r="62" spans="1:33" ht="15.75" customHeight="1">
      <c r="A62" s="577" t="s">
        <v>2145</v>
      </c>
      <c r="B62" s="364" t="s">
        <v>94</v>
      </c>
      <c r="C62" s="574" t="s">
        <v>124</v>
      </c>
      <c r="D62" s="574"/>
      <c r="E62" s="39">
        <v>22.69</v>
      </c>
      <c r="F62" s="364">
        <v>4324</v>
      </c>
      <c r="G62" s="359">
        <f t="shared" ref="G62:G69" si="45">E62*F62</f>
        <v>98111.560000000012</v>
      </c>
      <c r="H62" s="48" t="s">
        <v>126</v>
      </c>
      <c r="I62" s="361">
        <v>15</v>
      </c>
      <c r="J62" s="43">
        <v>2400</v>
      </c>
      <c r="K62" s="18">
        <f t="shared" si="1"/>
        <v>160</v>
      </c>
      <c r="L62" s="361">
        <v>15</v>
      </c>
      <c r="M62" s="19">
        <f t="shared" ref="M62:M69" si="46">F62/V62*60</f>
        <v>2295.9292035398234</v>
      </c>
      <c r="N62" s="18">
        <f t="shared" si="3"/>
        <v>153.06194690265491</v>
      </c>
      <c r="O62" s="20">
        <f t="shared" si="4"/>
        <v>0</v>
      </c>
      <c r="P62" s="21">
        <f t="shared" si="5"/>
        <v>-6.9380530973450902</v>
      </c>
      <c r="Q62" s="358">
        <f t="shared" si="6"/>
        <v>0.95663716814159316</v>
      </c>
      <c r="R62" s="573">
        <f>Q70</f>
        <v>0.95413431295119833</v>
      </c>
      <c r="S62" s="49">
        <v>8.3333333333333329E-2</v>
      </c>
      <c r="T62" s="49">
        <v>0.16180555555555554</v>
      </c>
      <c r="U62" s="30"/>
      <c r="V62" s="362">
        <f t="shared" ref="V62:V69" si="47">(T62-S62)*24*60</f>
        <v>112.99999999999997</v>
      </c>
      <c r="W62" s="25">
        <f>T62</f>
        <v>0.16180555555555554</v>
      </c>
      <c r="X62" s="25">
        <f>S63</f>
        <v>0.18263888888888888</v>
      </c>
      <c r="Y62" s="25"/>
      <c r="Z62" s="25"/>
      <c r="AA62" s="575"/>
      <c r="AB62" s="575"/>
      <c r="AC62" s="50">
        <v>8</v>
      </c>
      <c r="AD62" s="27"/>
      <c r="AE62" s="20">
        <f t="shared" si="43"/>
        <v>-104.07079646017655</v>
      </c>
      <c r="AF62" s="358">
        <f t="shared" si="9"/>
        <v>0.95663716814159305</v>
      </c>
      <c r="AG62" s="573">
        <f>AF70</f>
        <v>0.95413431295119833</v>
      </c>
    </row>
    <row r="63" spans="1:33" ht="15.75" customHeight="1">
      <c r="A63" s="578" t="s">
        <v>2145</v>
      </c>
      <c r="B63" s="364" t="s">
        <v>94</v>
      </c>
      <c r="C63" s="574" t="s">
        <v>125</v>
      </c>
      <c r="D63" s="574"/>
      <c r="E63" s="39">
        <v>19.02</v>
      </c>
      <c r="F63" s="364">
        <v>5300</v>
      </c>
      <c r="G63" s="359">
        <f t="shared" si="45"/>
        <v>100806</v>
      </c>
      <c r="H63" s="48">
        <v>2</v>
      </c>
      <c r="I63" s="361">
        <v>14</v>
      </c>
      <c r="J63" s="43">
        <v>2400</v>
      </c>
      <c r="K63" s="18">
        <f t="shared" si="1"/>
        <v>171.42857142857142</v>
      </c>
      <c r="L63" s="361">
        <v>14</v>
      </c>
      <c r="M63" s="19">
        <f t="shared" si="46"/>
        <v>2287.7697841726613</v>
      </c>
      <c r="N63" s="18">
        <f t="shared" si="3"/>
        <v>163.41212744090438</v>
      </c>
      <c r="O63" s="20">
        <f t="shared" si="4"/>
        <v>0</v>
      </c>
      <c r="P63" s="21">
        <f t="shared" si="5"/>
        <v>-8.0164439876670315</v>
      </c>
      <c r="Q63" s="358">
        <f t="shared" si="6"/>
        <v>0.95323741007194229</v>
      </c>
      <c r="R63" s="573"/>
      <c r="S63" s="49">
        <v>0.18263888888888888</v>
      </c>
      <c r="T63" s="49">
        <v>0.27916666666666667</v>
      </c>
      <c r="U63" s="359">
        <f t="shared" ref="U63:U69" si="48">(S63-T62)*24*60</f>
        <v>30.000000000000014</v>
      </c>
      <c r="V63" s="362">
        <f t="shared" si="47"/>
        <v>139.00000000000003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-112.23021582733872</v>
      </c>
      <c r="AF63" s="358">
        <f t="shared" si="9"/>
        <v>0.95323741007194218</v>
      </c>
      <c r="AG63" s="573"/>
    </row>
    <row r="64" spans="1:33" ht="15.75" customHeight="1">
      <c r="A64" s="578" t="s">
        <v>2145</v>
      </c>
      <c r="B64" s="364" t="s">
        <v>94</v>
      </c>
      <c r="C64" s="574" t="s">
        <v>99</v>
      </c>
      <c r="D64" s="574"/>
      <c r="E64" s="39">
        <v>20.36</v>
      </c>
      <c r="F64" s="364">
        <v>3200</v>
      </c>
      <c r="G64" s="359">
        <f t="shared" si="45"/>
        <v>65152</v>
      </c>
      <c r="H64" s="48">
        <v>2</v>
      </c>
      <c r="I64" s="361">
        <v>17</v>
      </c>
      <c r="J64" s="43">
        <v>2400</v>
      </c>
      <c r="K64" s="18">
        <f t="shared" si="1"/>
        <v>141.1764705882353</v>
      </c>
      <c r="L64" s="361">
        <v>17</v>
      </c>
      <c r="M64" s="19">
        <f t="shared" si="46"/>
        <v>2285.7142857142849</v>
      </c>
      <c r="N64" s="18">
        <f t="shared" si="3"/>
        <v>134.45378151260499</v>
      </c>
      <c r="O64" s="20">
        <f t="shared" si="4"/>
        <v>0</v>
      </c>
      <c r="P64" s="21">
        <f t="shared" si="5"/>
        <v>-6.7226890756303135</v>
      </c>
      <c r="Q64" s="358">
        <f t="shared" si="6"/>
        <v>0.952380952380952</v>
      </c>
      <c r="R64" s="573"/>
      <c r="S64" s="49">
        <v>0.28263888888888888</v>
      </c>
      <c r="T64" s="49">
        <v>0.34097222222222223</v>
      </c>
      <c r="U64" s="359">
        <f t="shared" si="48"/>
        <v>4.9999999999999822</v>
      </c>
      <c r="V64" s="362">
        <f t="shared" si="47"/>
        <v>84.000000000000028</v>
      </c>
      <c r="W64" s="25"/>
      <c r="X64" s="25"/>
      <c r="Y64" s="25"/>
      <c r="Z64" s="25"/>
      <c r="AA64" s="575"/>
      <c r="AB64" s="575"/>
      <c r="AC64" s="50"/>
      <c r="AD64" s="27"/>
      <c r="AE64" s="20">
        <f t="shared" si="43"/>
        <v>-114.28571428571513</v>
      </c>
      <c r="AF64" s="358">
        <f t="shared" si="9"/>
        <v>0.952380952380952</v>
      </c>
      <c r="AG64" s="573"/>
    </row>
    <row r="65" spans="1:33" ht="15.75" customHeight="1">
      <c r="A65" s="578" t="s">
        <v>2145</v>
      </c>
      <c r="B65" s="364" t="s">
        <v>94</v>
      </c>
      <c r="C65" s="574" t="s">
        <v>123</v>
      </c>
      <c r="D65" s="574"/>
      <c r="E65" s="39">
        <v>20.21</v>
      </c>
      <c r="F65" s="364">
        <v>3289</v>
      </c>
      <c r="G65" s="359">
        <f t="shared" si="45"/>
        <v>66470.69</v>
      </c>
      <c r="H65" s="48" t="s">
        <v>126</v>
      </c>
      <c r="I65" s="361">
        <v>15</v>
      </c>
      <c r="J65" s="43">
        <v>2400</v>
      </c>
      <c r="K65" s="18">
        <f t="shared" si="1"/>
        <v>160</v>
      </c>
      <c r="L65" s="361">
        <v>15</v>
      </c>
      <c r="M65" s="19">
        <f t="shared" si="46"/>
        <v>2294.6511627906975</v>
      </c>
      <c r="N65" s="18">
        <f t="shared" si="3"/>
        <v>152.97674418604649</v>
      </c>
      <c r="O65" s="20">
        <f t="shared" si="4"/>
        <v>0</v>
      </c>
      <c r="P65" s="21">
        <f t="shared" si="5"/>
        <v>-7.0232558139535115</v>
      </c>
      <c r="Q65" s="358">
        <f t="shared" si="6"/>
        <v>0.95610465116279053</v>
      </c>
      <c r="R65" s="573"/>
      <c r="S65" s="49">
        <v>0.34513888888888888</v>
      </c>
      <c r="T65" s="49">
        <v>0.40486111111111112</v>
      </c>
      <c r="U65" s="359">
        <f t="shared" si="48"/>
        <v>5.9999999999999787</v>
      </c>
      <c r="V65" s="362">
        <f t="shared" si="47"/>
        <v>86.000000000000014</v>
      </c>
      <c r="W65" s="25"/>
      <c r="X65" s="25"/>
      <c r="Y65" s="25"/>
      <c r="Z65" s="25"/>
      <c r="AA65" s="575"/>
      <c r="AB65" s="575"/>
      <c r="AC65" s="50"/>
      <c r="AD65" s="27"/>
      <c r="AE65" s="20">
        <f t="shared" si="43"/>
        <v>-105.34883720930247</v>
      </c>
      <c r="AF65" s="358">
        <f t="shared" si="9"/>
        <v>0.95610465116279064</v>
      </c>
      <c r="AG65" s="573"/>
    </row>
    <row r="66" spans="1:33" ht="15.75" customHeight="1">
      <c r="A66" s="578" t="s">
        <v>71</v>
      </c>
      <c r="B66" s="364" t="s">
        <v>94</v>
      </c>
      <c r="C66" s="574" t="s">
        <v>1954</v>
      </c>
      <c r="D66" s="574"/>
      <c r="E66" s="39">
        <v>20.21</v>
      </c>
      <c r="F66" s="364">
        <v>4200</v>
      </c>
      <c r="G66" s="359">
        <f t="shared" si="45"/>
        <v>84882</v>
      </c>
      <c r="H66" s="48">
        <v>2</v>
      </c>
      <c r="I66" s="361">
        <v>18</v>
      </c>
      <c r="J66" s="43">
        <v>2400</v>
      </c>
      <c r="K66" s="18">
        <f t="shared" si="1"/>
        <v>133.33333333333334</v>
      </c>
      <c r="L66" s="361">
        <v>18</v>
      </c>
      <c r="M66" s="19">
        <f t="shared" si="46"/>
        <v>2290.909090909091</v>
      </c>
      <c r="N66" s="18">
        <f t="shared" si="3"/>
        <v>127.27272727272728</v>
      </c>
      <c r="O66" s="20">
        <f t="shared" si="4"/>
        <v>0</v>
      </c>
      <c r="P66" s="21">
        <f t="shared" si="5"/>
        <v>-6.0606060606060623</v>
      </c>
      <c r="Q66" s="358">
        <f t="shared" si="6"/>
        <v>0.95454545454545459</v>
      </c>
      <c r="R66" s="573"/>
      <c r="S66" s="49">
        <v>0.40833333333333333</v>
      </c>
      <c r="T66" s="49">
        <v>0.48472222222222222</v>
      </c>
      <c r="U66" s="359">
        <f t="shared" si="48"/>
        <v>4.9999999999999822</v>
      </c>
      <c r="V66" s="362">
        <f t="shared" si="47"/>
        <v>110.00000000000001</v>
      </c>
      <c r="W66" s="25">
        <f>T66</f>
        <v>0.48472222222222222</v>
      </c>
      <c r="X66" s="25">
        <f>S67</f>
        <v>0.52638888888888891</v>
      </c>
      <c r="Y66" s="25"/>
      <c r="Z66" s="25"/>
      <c r="AA66" s="575"/>
      <c r="AB66" s="575"/>
      <c r="AC66" s="50"/>
      <c r="AD66" s="27"/>
      <c r="AE66" s="20">
        <f t="shared" si="43"/>
        <v>-109.09090909090901</v>
      </c>
      <c r="AF66" s="358">
        <f t="shared" si="9"/>
        <v>0.95454545454545459</v>
      </c>
      <c r="AG66" s="573"/>
    </row>
    <row r="67" spans="1:33" ht="15.75" customHeight="1">
      <c r="A67" s="578" t="s">
        <v>2145</v>
      </c>
      <c r="B67" s="364" t="s">
        <v>94</v>
      </c>
      <c r="C67" s="574" t="s">
        <v>1954</v>
      </c>
      <c r="D67" s="574"/>
      <c r="E67" s="39">
        <v>20.21</v>
      </c>
      <c r="F67" s="364">
        <v>3012</v>
      </c>
      <c r="G67" s="359">
        <f t="shared" si="45"/>
        <v>60872.520000000004</v>
      </c>
      <c r="H67" s="48" t="s">
        <v>126</v>
      </c>
      <c r="I67" s="361">
        <v>18</v>
      </c>
      <c r="J67" s="43">
        <v>2400</v>
      </c>
      <c r="K67" s="18">
        <f t="shared" si="1"/>
        <v>133.33333333333334</v>
      </c>
      <c r="L67" s="361">
        <v>18</v>
      </c>
      <c r="M67" s="19">
        <f t="shared" si="46"/>
        <v>2287.5949367088597</v>
      </c>
      <c r="N67" s="18">
        <f t="shared" si="3"/>
        <v>127.08860759493665</v>
      </c>
      <c r="O67" s="20">
        <f t="shared" si="4"/>
        <v>0</v>
      </c>
      <c r="P67" s="21">
        <f t="shared" si="5"/>
        <v>-6.2447257383966956</v>
      </c>
      <c r="Q67" s="358">
        <f t="shared" si="6"/>
        <v>0.95316455696202473</v>
      </c>
      <c r="R67" s="573"/>
      <c r="S67" s="49">
        <v>0.52638888888888891</v>
      </c>
      <c r="T67" s="49">
        <v>0.58125000000000004</v>
      </c>
      <c r="U67" s="359">
        <f t="shared" si="48"/>
        <v>60.000000000000028</v>
      </c>
      <c r="V67" s="362">
        <f t="shared" si="47"/>
        <v>79.000000000000043</v>
      </c>
      <c r="W67" s="25"/>
      <c r="X67" s="25"/>
      <c r="Y67" s="25"/>
      <c r="Z67" s="25"/>
      <c r="AA67" s="575"/>
      <c r="AB67" s="575"/>
      <c r="AC67" s="50"/>
      <c r="AD67" s="27"/>
      <c r="AE67" s="20">
        <f t="shared" si="43"/>
        <v>-112.40506329114032</v>
      </c>
      <c r="AF67" s="358">
        <f t="shared" si="9"/>
        <v>0.95316455696202484</v>
      </c>
      <c r="AG67" s="573"/>
    </row>
    <row r="68" spans="1:33" ht="15.75" customHeight="1">
      <c r="A68" s="578" t="s">
        <v>2145</v>
      </c>
      <c r="B68" s="364" t="s">
        <v>94</v>
      </c>
      <c r="C68" s="566" t="s">
        <v>125</v>
      </c>
      <c r="D68" s="567"/>
      <c r="E68" s="39">
        <v>19.02</v>
      </c>
      <c r="F68" s="364">
        <v>4426</v>
      </c>
      <c r="G68" s="359">
        <f t="shared" si="45"/>
        <v>84182.52</v>
      </c>
      <c r="H68" s="48" t="s">
        <v>126</v>
      </c>
      <c r="I68" s="361">
        <v>14</v>
      </c>
      <c r="J68" s="43">
        <v>2400</v>
      </c>
      <c r="K68" s="18">
        <f t="shared" si="1"/>
        <v>171.42857142857142</v>
      </c>
      <c r="L68" s="361">
        <v>14</v>
      </c>
      <c r="M68" s="19">
        <f t="shared" si="46"/>
        <v>2289.3103448275851</v>
      </c>
      <c r="N68" s="18">
        <f t="shared" si="3"/>
        <v>163.52216748768464</v>
      </c>
      <c r="O68" s="20">
        <f t="shared" si="4"/>
        <v>0</v>
      </c>
      <c r="P68" s="21">
        <f t="shared" si="5"/>
        <v>-7.9064039408867757</v>
      </c>
      <c r="Q68" s="358">
        <f t="shared" si="6"/>
        <v>0.95387931034482709</v>
      </c>
      <c r="R68" s="573"/>
      <c r="S68" s="49">
        <v>0.58680555555555558</v>
      </c>
      <c r="T68" s="49">
        <v>0.66736111111111118</v>
      </c>
      <c r="U68" s="359">
        <f t="shared" si="48"/>
        <v>7.9999999999999716</v>
      </c>
      <c r="V68" s="362">
        <f t="shared" si="47"/>
        <v>116.00000000000007</v>
      </c>
      <c r="W68" s="25"/>
      <c r="X68" s="25"/>
      <c r="Y68" s="28"/>
      <c r="Z68" s="28"/>
      <c r="AA68" s="568"/>
      <c r="AB68" s="569"/>
      <c r="AC68" s="50"/>
      <c r="AD68" s="27"/>
      <c r="AE68" s="20">
        <f t="shared" si="43"/>
        <v>-110.68965517241486</v>
      </c>
      <c r="AF68" s="358">
        <f t="shared" si="9"/>
        <v>0.95387931034482709</v>
      </c>
      <c r="AG68" s="573"/>
    </row>
    <row r="69" spans="1:33" ht="15.75" customHeight="1">
      <c r="A69" s="578" t="s">
        <v>2145</v>
      </c>
      <c r="B69" s="364" t="s">
        <v>94</v>
      </c>
      <c r="C69" s="566" t="s">
        <v>99</v>
      </c>
      <c r="D69" s="567"/>
      <c r="E69" s="39">
        <v>20.36</v>
      </c>
      <c r="F69" s="364">
        <v>2135</v>
      </c>
      <c r="G69" s="359">
        <f t="shared" si="45"/>
        <v>43468.6</v>
      </c>
      <c r="H69" s="48" t="s">
        <v>126</v>
      </c>
      <c r="I69" s="361">
        <v>17</v>
      </c>
      <c r="J69" s="43">
        <v>2400</v>
      </c>
      <c r="K69" s="18">
        <f t="shared" ref="K69:K70" si="49">J69/I69</f>
        <v>141.1764705882353</v>
      </c>
      <c r="L69" s="361">
        <v>17</v>
      </c>
      <c r="M69" s="19">
        <f t="shared" si="46"/>
        <v>2287.5000000000018</v>
      </c>
      <c r="N69" s="18">
        <f t="shared" ref="N69:N70" si="50">M69/L69</f>
        <v>134.55882352941188</v>
      </c>
      <c r="O69" s="20">
        <f t="shared" ref="O69:O70" si="51">L69-I69</f>
        <v>0</v>
      </c>
      <c r="P69" s="21">
        <f t="shared" ref="P69:P70" si="52">N69-K69</f>
        <v>-6.6176470588234224</v>
      </c>
      <c r="Q69" s="358">
        <f t="shared" ref="Q69:Q70" si="53">N69/K69</f>
        <v>0.95312500000000078</v>
      </c>
      <c r="R69" s="573"/>
      <c r="S69" s="49">
        <v>0.67083333333333339</v>
      </c>
      <c r="T69" s="49">
        <v>0.70972222222222225</v>
      </c>
      <c r="U69" s="359">
        <f t="shared" si="48"/>
        <v>4.9999999999999822</v>
      </c>
      <c r="V69" s="362">
        <f t="shared" si="47"/>
        <v>55.999999999999957</v>
      </c>
      <c r="W69" s="25"/>
      <c r="X69" s="25"/>
      <c r="Y69" s="28"/>
      <c r="Z69" s="28"/>
      <c r="AA69" s="568"/>
      <c r="AB69" s="569"/>
      <c r="AC69" s="50"/>
      <c r="AD69" s="27"/>
      <c r="AE69" s="20">
        <f t="shared" si="43"/>
        <v>-112.49999999999818</v>
      </c>
      <c r="AF69" s="358">
        <f t="shared" ref="AF69:AF70" si="54">M69/J69</f>
        <v>0.95312500000000078</v>
      </c>
      <c r="AG69" s="573"/>
    </row>
    <row r="70" spans="1:33" ht="16.5" customHeight="1">
      <c r="A70" s="579" t="s">
        <v>2145</v>
      </c>
      <c r="B70" s="39" t="s">
        <v>2134</v>
      </c>
      <c r="C70" s="570"/>
      <c r="D70" s="571"/>
      <c r="E70" s="360"/>
      <c r="F70" s="42"/>
      <c r="G70" s="18"/>
      <c r="H70" s="364"/>
      <c r="I70" s="32">
        <v>16</v>
      </c>
      <c r="J70" s="43">
        <v>2400</v>
      </c>
      <c r="K70" s="18">
        <f t="shared" si="49"/>
        <v>150</v>
      </c>
      <c r="L70" s="32">
        <v>16</v>
      </c>
      <c r="M70" s="19">
        <f>AVERAGE(M62:M69)</f>
        <v>2289.922351082876</v>
      </c>
      <c r="N70" s="18">
        <f t="shared" si="50"/>
        <v>143.12014694267975</v>
      </c>
      <c r="O70" s="20">
        <f t="shared" si="51"/>
        <v>0</v>
      </c>
      <c r="P70" s="21">
        <f t="shared" si="52"/>
        <v>-6.879853057320247</v>
      </c>
      <c r="Q70" s="358">
        <f t="shared" si="53"/>
        <v>0.95413431295119833</v>
      </c>
      <c r="R70" s="573"/>
      <c r="S70" s="49"/>
      <c r="T70" s="49"/>
      <c r="U70" s="18"/>
      <c r="V70" s="362"/>
      <c r="W70" s="18"/>
      <c r="X70" s="18"/>
      <c r="Y70" s="33">
        <f>SUM(Y62:Y69)</f>
        <v>0</v>
      </c>
      <c r="Z70" s="33">
        <f>SUM(Z62:Z69)</f>
        <v>0</v>
      </c>
      <c r="AA70" s="572"/>
      <c r="AB70" s="572"/>
      <c r="AC70" s="33">
        <v>8</v>
      </c>
      <c r="AD70" s="33">
        <f>SUM(AD62:AD69)</f>
        <v>0</v>
      </c>
      <c r="AE70" s="20">
        <f t="shared" si="43"/>
        <v>-110.07764891712395</v>
      </c>
      <c r="AF70" s="358">
        <f t="shared" si="54"/>
        <v>0.95413431295119833</v>
      </c>
      <c r="AG70" s="573"/>
    </row>
    <row r="71" spans="1:33">
      <c r="D71" s="35"/>
      <c r="E71" s="35"/>
    </row>
  </sheetData>
  <mergeCells count="191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4:AG18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A19:A25"/>
    <mergeCell ref="C19:D19"/>
    <mergeCell ref="R19:R25"/>
    <mergeCell ref="AA19:AB19"/>
    <mergeCell ref="AA24:AB24"/>
    <mergeCell ref="C25:D25"/>
    <mergeCell ref="AA25:AB25"/>
    <mergeCell ref="A14:A18"/>
    <mergeCell ref="C14:D14"/>
    <mergeCell ref="R14:R18"/>
    <mergeCell ref="AA14:AB14"/>
    <mergeCell ref="AG26:AG34"/>
    <mergeCell ref="C27:D27"/>
    <mergeCell ref="AA27:AB27"/>
    <mergeCell ref="C28:D28"/>
    <mergeCell ref="AA28:AB28"/>
    <mergeCell ref="C29:D29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A29:AB29"/>
    <mergeCell ref="C30:D30"/>
    <mergeCell ref="AA30:AB30"/>
    <mergeCell ref="C31:D31"/>
    <mergeCell ref="AA31:AB31"/>
    <mergeCell ref="C32:D32"/>
    <mergeCell ref="AA32:AB32"/>
    <mergeCell ref="A26:A34"/>
    <mergeCell ref="C26:D26"/>
    <mergeCell ref="R26:R34"/>
    <mergeCell ref="AA26:AB26"/>
    <mergeCell ref="C34:D34"/>
    <mergeCell ref="AA34:AB34"/>
    <mergeCell ref="A35:A42"/>
    <mergeCell ref="C35:D35"/>
    <mergeCell ref="R35:R42"/>
    <mergeCell ref="AA35:AB35"/>
    <mergeCell ref="AA40:AB40"/>
    <mergeCell ref="C41:D41"/>
    <mergeCell ref="AA41:AB41"/>
    <mergeCell ref="C42:D42"/>
    <mergeCell ref="AA42:AB42"/>
    <mergeCell ref="A43:A47"/>
    <mergeCell ref="C43:D43"/>
    <mergeCell ref="R43:R47"/>
    <mergeCell ref="AA43:AB43"/>
    <mergeCell ref="AG43:AG47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AG35:AG42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AG56:AG61"/>
    <mergeCell ref="C57:D57"/>
    <mergeCell ref="AA57:AB57"/>
    <mergeCell ref="C58:D58"/>
    <mergeCell ref="AA58:AB58"/>
    <mergeCell ref="AG48:AG55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C59:D59"/>
    <mergeCell ref="AA59:AB59"/>
    <mergeCell ref="C60:D60"/>
    <mergeCell ref="AA60:AB60"/>
    <mergeCell ref="C61:D61"/>
    <mergeCell ref="AA61:AB61"/>
    <mergeCell ref="AA55:AB55"/>
    <mergeCell ref="A56:A61"/>
    <mergeCell ref="C56:D56"/>
    <mergeCell ref="R56:R61"/>
    <mergeCell ref="AA56:AB56"/>
    <mergeCell ref="A62:A70"/>
    <mergeCell ref="C62:D62"/>
    <mergeCell ref="R62:R70"/>
    <mergeCell ref="AA62:AB62"/>
    <mergeCell ref="A48:A55"/>
    <mergeCell ref="C48:D48"/>
    <mergeCell ref="R48:R55"/>
    <mergeCell ref="AA48:AB48"/>
    <mergeCell ref="AA54:AB54"/>
    <mergeCell ref="C55:D55"/>
    <mergeCell ref="AG62:AG70"/>
    <mergeCell ref="C63:D63"/>
    <mergeCell ref="AA63:AB63"/>
    <mergeCell ref="C64:D64"/>
    <mergeCell ref="AA64:AB64"/>
    <mergeCell ref="C65:D65"/>
    <mergeCell ref="C69:D69"/>
    <mergeCell ref="AA69:AB69"/>
    <mergeCell ref="C70:D70"/>
    <mergeCell ref="AA70:AB70"/>
    <mergeCell ref="AA65:AB65"/>
    <mergeCell ref="C66:D66"/>
    <mergeCell ref="AA66:AB66"/>
    <mergeCell ref="C67:D67"/>
    <mergeCell ref="AA67:AB67"/>
    <mergeCell ref="C68:D68"/>
    <mergeCell ref="AA68:AB68"/>
  </mergeCells>
  <phoneticPr fontId="3" type="noConversion"/>
  <conditionalFormatting sqref="O59:O67 O55:O56 O70 O5:O9 O13:O15 O18:O53">
    <cfRule type="cellIs" dxfId="1235" priority="46" operator="greaterThan">
      <formula>0</formula>
    </cfRule>
  </conditionalFormatting>
  <conditionalFormatting sqref="P5:P7 P59:P60 AE59:AE60 P62:P67 P26:P33 P56 P9 P13:P15 P19:P24 P48:P53 P35:P46 AE5:AE56 AE62:AE70">
    <cfRule type="cellIs" dxfId="1234" priority="50" operator="lessThan">
      <formula>0</formula>
    </cfRule>
  </conditionalFormatting>
  <conditionalFormatting sqref="AF59:AF60 Q59:Q67 Q55:Q56 Q70 Q5:Q9 Q13:Q15 Q18:Q53 AF5:AF56 AF62:AF70">
    <cfRule type="cellIs" dxfId="1233" priority="47" operator="greaterThan">
      <formula>1</formula>
    </cfRule>
    <cfRule type="cellIs" dxfId="1232" priority="48" operator="lessThan">
      <formula>0.8</formula>
    </cfRule>
  </conditionalFormatting>
  <conditionalFormatting sqref="AG14:AG15 R14:R15 AG59 R59:R67 AG55:AG56 R55:R56 R70 AG5:AG9 R5:R9 AG18:AG53 R18:R53">
    <cfRule type="cellIs" dxfId="1231" priority="52" operator="lessThan">
      <formula>0.8</formula>
    </cfRule>
  </conditionalFormatting>
  <conditionalFormatting sqref="AG43">
    <cfRule type="cellIs" dxfId="1230" priority="54" operator="lessThan">
      <formula>0.8</formula>
    </cfRule>
  </conditionalFormatting>
  <conditionalFormatting sqref="AG19:AG24">
    <cfRule type="cellIs" dxfId="1229" priority="51" operator="lessThan">
      <formula>0.8</formula>
    </cfRule>
  </conditionalFormatting>
  <conditionalFormatting sqref="AG26">
    <cfRule type="cellIs" dxfId="1228" priority="53" operator="lessThan">
      <formula>0.8</formula>
    </cfRule>
  </conditionalFormatting>
  <conditionalFormatting sqref="AG35:AG41">
    <cfRule type="cellIs" dxfId="1227" priority="49" operator="lessThan">
      <formula>0.8</formula>
    </cfRule>
  </conditionalFormatting>
  <conditionalFormatting sqref="AE61">
    <cfRule type="cellIs" dxfId="1226" priority="45" operator="lessThan">
      <formula>0</formula>
    </cfRule>
  </conditionalFormatting>
  <conditionalFormatting sqref="AF61">
    <cfRule type="cellIs" dxfId="1225" priority="43" operator="greaterThan">
      <formula>1</formula>
    </cfRule>
    <cfRule type="cellIs" dxfId="1224" priority="44" operator="lessThan">
      <formula>0.8</formula>
    </cfRule>
  </conditionalFormatting>
  <conditionalFormatting sqref="O16:O17">
    <cfRule type="cellIs" dxfId="1223" priority="38" operator="greaterThan">
      <formula>0</formula>
    </cfRule>
  </conditionalFormatting>
  <conditionalFormatting sqref="P16:P17">
    <cfRule type="cellIs" dxfId="1222" priority="41" operator="lessThan">
      <formula>0</formula>
    </cfRule>
  </conditionalFormatting>
  <conditionalFormatting sqref="Q16:Q17">
    <cfRule type="cellIs" dxfId="1221" priority="39" operator="greaterThan">
      <formula>1</formula>
    </cfRule>
    <cfRule type="cellIs" dxfId="1220" priority="40" operator="lessThan">
      <formula>0.8</formula>
    </cfRule>
  </conditionalFormatting>
  <conditionalFormatting sqref="R16:R17 AG16:AG17">
    <cfRule type="cellIs" dxfId="1219" priority="42" operator="lessThan">
      <formula>0.8</formula>
    </cfRule>
  </conditionalFormatting>
  <conditionalFormatting sqref="O10:O12">
    <cfRule type="cellIs" dxfId="1218" priority="34" operator="greaterThan">
      <formula>0</formula>
    </cfRule>
  </conditionalFormatting>
  <conditionalFormatting sqref="P10:P12">
    <cfRule type="cellIs" dxfId="1217" priority="37" operator="lessThan">
      <formula>0</formula>
    </cfRule>
  </conditionalFormatting>
  <conditionalFormatting sqref="Q10:Q12">
    <cfRule type="cellIs" dxfId="1216" priority="35" operator="greaterThan">
      <formula>1</formula>
    </cfRule>
    <cfRule type="cellIs" dxfId="1215" priority="36" operator="lessThan">
      <formula>0.8</formula>
    </cfRule>
  </conditionalFormatting>
  <conditionalFormatting sqref="O54">
    <cfRule type="cellIs" dxfId="1214" priority="29" operator="greaterThan">
      <formula>0</formula>
    </cfRule>
  </conditionalFormatting>
  <conditionalFormatting sqref="P54">
    <cfRule type="cellIs" dxfId="1213" priority="32" operator="lessThan">
      <formula>0</formula>
    </cfRule>
  </conditionalFormatting>
  <conditionalFormatting sqref="Q54">
    <cfRule type="cellIs" dxfId="1212" priority="30" operator="greaterThan">
      <formula>1</formula>
    </cfRule>
    <cfRule type="cellIs" dxfId="1211" priority="31" operator="lessThan">
      <formula>0.8</formula>
    </cfRule>
  </conditionalFormatting>
  <conditionalFormatting sqref="R54 AG54">
    <cfRule type="cellIs" dxfId="1210" priority="33" operator="lessThan">
      <formula>0.8</formula>
    </cfRule>
  </conditionalFormatting>
  <conditionalFormatting sqref="O58">
    <cfRule type="cellIs" dxfId="1209" priority="24" operator="greaterThan">
      <formula>0</formula>
    </cfRule>
  </conditionalFormatting>
  <conditionalFormatting sqref="P58 AE58">
    <cfRule type="cellIs" dxfId="1208" priority="27" operator="lessThan">
      <formula>0</formula>
    </cfRule>
  </conditionalFormatting>
  <conditionalFormatting sqref="Q58 AF58">
    <cfRule type="cellIs" dxfId="1207" priority="25" operator="greaterThan">
      <formula>1</formula>
    </cfRule>
    <cfRule type="cellIs" dxfId="1206" priority="26" operator="lessThan">
      <formula>0.8</formula>
    </cfRule>
  </conditionalFormatting>
  <conditionalFormatting sqref="R58 AG58">
    <cfRule type="cellIs" dxfId="1205" priority="28" operator="lessThan">
      <formula>0.8</formula>
    </cfRule>
  </conditionalFormatting>
  <conditionalFormatting sqref="O68">
    <cfRule type="cellIs" dxfId="1204" priority="19" operator="greaterThan">
      <formula>0</formula>
    </cfRule>
  </conditionalFormatting>
  <conditionalFormatting sqref="P68">
    <cfRule type="cellIs" dxfId="1203" priority="22" operator="lessThan">
      <formula>0</formula>
    </cfRule>
  </conditionalFormatting>
  <conditionalFormatting sqref="Q68">
    <cfRule type="cellIs" dxfId="1202" priority="20" operator="greaterThan">
      <formula>1</formula>
    </cfRule>
    <cfRule type="cellIs" dxfId="1201" priority="21" operator="lessThan">
      <formula>0.8</formula>
    </cfRule>
  </conditionalFormatting>
  <conditionalFormatting sqref="R68">
    <cfRule type="cellIs" dxfId="1200" priority="23" operator="lessThan">
      <formula>0.8</formula>
    </cfRule>
  </conditionalFormatting>
  <conditionalFormatting sqref="O57">
    <cfRule type="cellIs" dxfId="1199" priority="14" operator="greaterThan">
      <formula>0</formula>
    </cfRule>
  </conditionalFormatting>
  <conditionalFormatting sqref="P57 AE57">
    <cfRule type="cellIs" dxfId="1198" priority="17" operator="lessThan">
      <formula>0</formula>
    </cfRule>
  </conditionalFormatting>
  <conditionalFormatting sqref="Q57 AF57">
    <cfRule type="cellIs" dxfId="1197" priority="15" operator="greaterThan">
      <formula>1</formula>
    </cfRule>
    <cfRule type="cellIs" dxfId="1196" priority="16" operator="lessThan">
      <formula>0.8</formula>
    </cfRule>
  </conditionalFormatting>
  <conditionalFormatting sqref="R57 AG57">
    <cfRule type="cellIs" dxfId="1195" priority="18" operator="lessThan">
      <formula>0.8</formula>
    </cfRule>
  </conditionalFormatting>
  <conditionalFormatting sqref="P8">
    <cfRule type="cellIs" dxfId="1194" priority="13" operator="lessThan">
      <formula>0</formula>
    </cfRule>
  </conditionalFormatting>
  <conditionalFormatting sqref="P18">
    <cfRule type="cellIs" dxfId="1193" priority="12" operator="lessThan">
      <formula>0</formula>
    </cfRule>
  </conditionalFormatting>
  <conditionalFormatting sqref="P25">
    <cfRule type="cellIs" dxfId="1192" priority="11" operator="lessThan">
      <formula>0</formula>
    </cfRule>
  </conditionalFormatting>
  <conditionalFormatting sqref="P34">
    <cfRule type="cellIs" dxfId="1191" priority="10" operator="lessThan">
      <formula>0</formula>
    </cfRule>
  </conditionalFormatting>
  <conditionalFormatting sqref="P47">
    <cfRule type="cellIs" dxfId="1190" priority="9" operator="lessThan">
      <formula>0</formula>
    </cfRule>
  </conditionalFormatting>
  <conditionalFormatting sqref="P55">
    <cfRule type="cellIs" dxfId="1189" priority="8" operator="lessThan">
      <formula>0</formula>
    </cfRule>
  </conditionalFormatting>
  <conditionalFormatting sqref="P61">
    <cfRule type="cellIs" dxfId="1188" priority="7" operator="lessThan">
      <formula>0</formula>
    </cfRule>
  </conditionalFormatting>
  <conditionalFormatting sqref="P70">
    <cfRule type="cellIs" dxfId="1187" priority="6" operator="lessThan">
      <formula>0</formula>
    </cfRule>
  </conditionalFormatting>
  <conditionalFormatting sqref="O69">
    <cfRule type="cellIs" dxfId="1186" priority="1" operator="greaterThan">
      <formula>0</formula>
    </cfRule>
  </conditionalFormatting>
  <conditionalFormatting sqref="P69">
    <cfRule type="cellIs" dxfId="1185" priority="4" operator="lessThan">
      <formula>0</formula>
    </cfRule>
  </conditionalFormatting>
  <conditionalFormatting sqref="Q69">
    <cfRule type="cellIs" dxfId="1184" priority="2" operator="greaterThan">
      <formula>1</formula>
    </cfRule>
    <cfRule type="cellIs" dxfId="1183" priority="3" operator="lessThan">
      <formula>0.8</formula>
    </cfRule>
  </conditionalFormatting>
  <conditionalFormatting sqref="R69">
    <cfRule type="cellIs" dxfId="1182" priority="5" operator="lessThan">
      <formula>0.8</formula>
    </cfRule>
  </conditionalFormatting>
  <dataValidations count="1">
    <dataValidation type="list" allowBlank="1" showInputMessage="1" showErrorMessage="1" sqref="AB8 AA5:AB7 AB60 AA8:AA60 AB10:AB56 AA61:AB7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I3" sqref="I3:J3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1961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1962</v>
      </c>
      <c r="C3" s="555" t="str">
        <f>TEXT('0520 4度C'!A2,"yyyy.mm.ddaaaa")</f>
        <v>2026.05.20星期三</v>
      </c>
      <c r="D3" s="556"/>
      <c r="E3" s="54" t="s">
        <v>1963</v>
      </c>
      <c r="F3" s="557">
        <f>'0520 4度C'!D1</f>
        <v>175536</v>
      </c>
      <c r="G3" s="558"/>
      <c r="H3" s="54" t="s">
        <v>1964</v>
      </c>
      <c r="I3" s="559">
        <f>'0520 4度C'!F1</f>
        <v>5856235.5999999996</v>
      </c>
      <c r="J3" s="560"/>
      <c r="K3" s="55"/>
      <c r="L3" s="56"/>
      <c r="M3" s="57"/>
      <c r="N3" s="57"/>
    </row>
    <row r="4" spans="2:17" ht="28.5" customHeight="1">
      <c r="B4" s="561" t="s">
        <v>1965</v>
      </c>
      <c r="C4" s="547" t="s">
        <v>1966</v>
      </c>
      <c r="D4" s="548"/>
      <c r="E4" s="564" t="s">
        <v>1967</v>
      </c>
      <c r="F4" s="565"/>
      <c r="G4" s="564" t="s">
        <v>1968</v>
      </c>
      <c r="H4" s="565"/>
      <c r="I4" s="564" t="s">
        <v>199</v>
      </c>
      <c r="J4" s="565"/>
      <c r="K4" s="545" t="s">
        <v>1969</v>
      </c>
      <c r="L4" s="546"/>
      <c r="M4" s="546" t="s">
        <v>1970</v>
      </c>
      <c r="N4" s="546"/>
    </row>
    <row r="5" spans="2:17" ht="28.5" customHeight="1">
      <c r="B5" s="562"/>
      <c r="C5" s="547" t="s">
        <v>1971</v>
      </c>
      <c r="D5" s="548"/>
      <c r="E5" s="547" t="s">
        <v>1972</v>
      </c>
      <c r="F5" s="548"/>
      <c r="G5" s="549" t="s">
        <v>1973</v>
      </c>
      <c r="H5" s="550"/>
      <c r="I5" s="551" t="s">
        <v>1974</v>
      </c>
      <c r="J5" s="552"/>
      <c r="K5" s="58" t="s">
        <v>1975</v>
      </c>
      <c r="L5" s="59" t="s">
        <v>1976</v>
      </c>
      <c r="M5" s="58" t="s">
        <v>1977</v>
      </c>
      <c r="N5" s="59" t="s">
        <v>1978</v>
      </c>
    </row>
    <row r="6" spans="2:17" ht="28.5" customHeight="1">
      <c r="B6" s="562"/>
      <c r="C6" s="547" t="s">
        <v>145</v>
      </c>
      <c r="D6" s="548"/>
      <c r="E6" s="539">
        <f>AVERAGE(D13:M13)</f>
        <v>153.39622100801074</v>
      </c>
      <c r="F6" s="540">
        <f>AVERAGE(D31:O31,D13:J13)</f>
        <v>159.76860465832397</v>
      </c>
      <c r="G6" s="541">
        <f>AVERAGE(D13:J13)</f>
        <v>159.76860465832397</v>
      </c>
      <c r="H6" s="542"/>
      <c r="I6" s="541">
        <f>AVERAGE(K13:M13)</f>
        <v>138.5273258239466</v>
      </c>
      <c r="J6" s="542"/>
      <c r="K6" s="543">
        <f>'0520 4度C'!Y2</f>
        <v>0</v>
      </c>
      <c r="L6" s="528">
        <f>'0520 4度C'!Z2</f>
        <v>0</v>
      </c>
      <c r="M6" s="544">
        <f>'0520 4度C'!AC2</f>
        <v>59</v>
      </c>
      <c r="N6" s="528">
        <f>'0520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147.00330111861481</v>
      </c>
      <c r="F7" s="532">
        <f>AVERAGE(D32:O32,D14:J14)</f>
        <v>153.23927471204095</v>
      </c>
      <c r="G7" s="533">
        <f>AVERAGE(D14:J14)</f>
        <v>153.23927471204095</v>
      </c>
      <c r="H7" s="534"/>
      <c r="I7" s="533">
        <f>AVERAGE(K14:M14)</f>
        <v>132.45269606728718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0.95858726743330691</v>
      </c>
      <c r="F8" s="536">
        <f>AVERAGE(D15:J15,D33:O33)</f>
        <v>0.95966147624156606</v>
      </c>
      <c r="G8" s="537">
        <f>AVERAGE(D15:J15)</f>
        <v>0.95966147624156606</v>
      </c>
      <c r="H8" s="538"/>
      <c r="I8" s="537">
        <f>AVERAGE(K15:M15)</f>
        <v>0.95608078021403575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1979</v>
      </c>
      <c r="N9" s="57"/>
      <c r="O9" s="57"/>
      <c r="P9" s="57"/>
      <c r="Q9" s="57"/>
    </row>
    <row r="10" spans="2:17" ht="30" customHeight="1">
      <c r="B10" s="511" t="s">
        <v>1980</v>
      </c>
      <c r="C10" s="512"/>
      <c r="D10" s="513" t="s">
        <v>1981</v>
      </c>
      <c r="E10" s="514"/>
      <c r="F10" s="514"/>
      <c r="G10" s="514"/>
      <c r="H10" s="514"/>
      <c r="I10" s="514"/>
      <c r="J10" s="515"/>
      <c r="K10" s="516" t="s">
        <v>1982</v>
      </c>
      <c r="L10" s="517"/>
      <c r="M10" s="518"/>
      <c r="P10" s="63"/>
      <c r="Q10" s="63"/>
    </row>
    <row r="11" spans="2:17" ht="17.25" customHeight="1">
      <c r="B11" s="519" t="s">
        <v>1983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1984</v>
      </c>
      <c r="C13" s="70" t="s">
        <v>1985</v>
      </c>
      <c r="D13" s="71">
        <f>SUMIFS('0520 4度C'!$K:$K,'0520 4度C'!$A:$A,"新豐6線",'0520 4度C'!$B:$B,"平均")</f>
        <v>125</v>
      </c>
      <c r="E13" s="72">
        <f>SUMIFS('0520 4度C'!$K:$K,'0520 4度C'!$A:$A,"新豐2線",'0520 4度C'!$B:$B,"平均")</f>
        <v>85.22727272727272</v>
      </c>
      <c r="F13" s="73">
        <f>SUMIFS('0520 4度C'!$K:$K,'0520 4度C'!$A:$A,"新豐5線",'0520 4度C'!$B:$B,"平均")</f>
        <v>108.43373493975902</v>
      </c>
      <c r="G13" s="73">
        <f>SUMIFS('0520 4度C'!$K:$K,'0520 4度C'!$A:$A,"新豐7線",'0520 4度C'!$B:$B,"平均")</f>
        <v>121.05263157894737</v>
      </c>
      <c r="H13" s="73">
        <f>SUMIFS('0520 4度C'!$K:$K,'0520 4度C'!$A:$A,"新豐3線",'0520 4度C'!$B:$B,"平均")</f>
        <v>255.81395348837211</v>
      </c>
      <c r="I13" s="73">
        <f>SUMIFS('0520 4度C'!$K:$K,'0520 4度C'!$A:$A,"新豐1線",'0520 4度C'!$B:$B,"平均")</f>
        <v>103.70370370370371</v>
      </c>
      <c r="J13" s="74">
        <f>SUMIFS('0520 4度C'!$K:$K,'0520 4度C'!$A:$A,"新豐10線",'0520 4度C'!$B:$B,"平均")</f>
        <v>319.14893617021278</v>
      </c>
      <c r="K13" s="75">
        <f>SUMIFS('0520 4度C'!$K:$K,'0520 4度C'!$A:$A,"新豐8線",'0520 4度C'!$B:$B,"平均")</f>
        <v>136.17021276595744</v>
      </c>
      <c r="L13" s="76">
        <f>SUMIFS('0520 4度C'!$K:$K,'0520 4度C'!$A:$A,"新豐9線",'0520 4度C'!$B:$B,"平均")</f>
        <v>129.41176470588235</v>
      </c>
      <c r="M13" s="74">
        <f>SUMIFS('0520 4度C'!$K:$K,'0520 4度C'!$A:$A,"新豐4線",'0520 4度C'!$B:$B,"平均")</f>
        <v>150</v>
      </c>
    </row>
    <row r="14" spans="2:17" ht="39.6" customHeight="1">
      <c r="B14" s="524"/>
      <c r="C14" s="77" t="s">
        <v>1986</v>
      </c>
      <c r="D14" s="78">
        <f>SUMIFS('0520 4度C'!$N:$N,'0520 4度C'!$A:$A,"新豐6線",'0520 4度C'!$B:$B,"平均")</f>
        <v>121.11338391739675</v>
      </c>
      <c r="E14" s="79">
        <f>SUMIFS('0520 4度C'!$N:$N,'0520 4度C'!$A:$A,"新豐2線",'0520 4度C'!$B:$B,"平均")</f>
        <v>81.469122429447594</v>
      </c>
      <c r="F14" s="79">
        <f>SUMIFS('0520 4度C'!$N:$N,'0520 4度C'!$A:$A,"新豐5線",'0520 4度C'!$B:$B,"平均")</f>
        <v>103.90600076761031</v>
      </c>
      <c r="G14" s="79">
        <f>SUMIFS('0520 4度C'!$N:$N,'0520 4度C'!$A:$A,"新豐7線",'0520 4度C'!$B:$B,"平均")</f>
        <v>116.22792814558308</v>
      </c>
      <c r="H14" s="79">
        <f>SUMIFS('0520 4度C'!$N:$N,'0520 4度C'!$A:$A,"新豐3線",'0520 4度C'!$B:$B,"平均")</f>
        <v>244.00181832833206</v>
      </c>
      <c r="I14" s="79">
        <f>SUMIFS('0520 4度C'!$N:$N,'0520 4度C'!$A:$A,"新豐1線",'0520 4度C'!$B:$B,"平均")</f>
        <v>99.639862147893169</v>
      </c>
      <c r="J14" s="80">
        <f>SUMIFS('0520 4度C'!$N:$N,'0520 4度C'!$A:$A,"新豐10線",'0520 4度C'!$B:$B,"平均")</f>
        <v>306.31680724802379</v>
      </c>
      <c r="K14" s="81">
        <f>SUMIFS('0520 4度C'!$N:$N,'0520 4度C'!$A:$A,"新豐8線",'0520 4度C'!$B:$B,"平均")</f>
        <v>130.23597027297981</v>
      </c>
      <c r="L14" s="82">
        <f>SUMIFS('0520 4度C'!$N:$N,'0520 4度C'!$A:$A,"新豐9線",'0520 4度C'!$B:$B,"平均")</f>
        <v>123.5216535998036</v>
      </c>
      <c r="M14" s="80">
        <f>SUMIFS('0520 4度C'!$N:$N,'0520 4度C'!$A:$A,"新豐4線",'0520 4度C'!$B:$B,"平均")</f>
        <v>143.60046432907805</v>
      </c>
    </row>
    <row r="15" spans="2:17" ht="40.15" customHeight="1">
      <c r="B15" s="525"/>
      <c r="C15" s="83" t="s">
        <v>1987</v>
      </c>
      <c r="D15" s="84">
        <f t="shared" ref="D15:M15" si="0">D14/D13</f>
        <v>0.96890707133917398</v>
      </c>
      <c r="E15" s="85">
        <f t="shared" si="0"/>
        <v>0.95590436983885185</v>
      </c>
      <c r="F15" s="85">
        <f t="shared" si="0"/>
        <v>0.95824422930129516</v>
      </c>
      <c r="G15" s="85">
        <f t="shared" si="0"/>
        <v>0.96014375424612108</v>
      </c>
      <c r="H15" s="85">
        <f t="shared" si="0"/>
        <v>0.95382528982893433</v>
      </c>
      <c r="I15" s="85">
        <f t="shared" si="0"/>
        <v>0.96081295642611264</v>
      </c>
      <c r="J15" s="86">
        <f t="shared" si="0"/>
        <v>0.95979266271047448</v>
      </c>
      <c r="K15" s="84">
        <f t="shared" si="0"/>
        <v>0.95642040669219552</v>
      </c>
      <c r="L15" s="85">
        <f t="shared" si="0"/>
        <v>0.95448550508939145</v>
      </c>
      <c r="M15" s="86">
        <f t="shared" si="0"/>
        <v>0.95733642886052028</v>
      </c>
    </row>
    <row r="16" spans="2:17" ht="17.25" customHeight="1">
      <c r="B16" s="526" t="s">
        <v>1988</v>
      </c>
      <c r="C16" s="87" t="s">
        <v>1989</v>
      </c>
      <c r="D16" s="88">
        <f>VLOOKUP("新豐6線",'0520 4度C'!$A:$T,19,0)</f>
        <v>0.70833333333333337</v>
      </c>
      <c r="E16" s="89">
        <f>VLOOKUP("新豐2線",'0520 4度C'!$A:$T,19,0)</f>
        <v>8.3333333333333329E-2</v>
      </c>
      <c r="F16" s="89">
        <f>VLOOKUP("新豐5線",'0520 4度C'!$A:$T,19,0)</f>
        <v>0.20833333333333334</v>
      </c>
      <c r="G16" s="89">
        <f>VLOOKUP("新豐7線",'0520 4度C'!$A:$T,19,0)</f>
        <v>0.20833333333333334</v>
      </c>
      <c r="H16" s="89">
        <f>VLOOKUP("新豐3線",'0520 4度C'!$A:$T,19,0)</f>
        <v>8.3333333333333329E-2</v>
      </c>
      <c r="I16" s="89">
        <f>VLOOKUP("新豐1線",'0520 4度C'!$A:$T,19,0)</f>
        <v>0.20833333333333334</v>
      </c>
      <c r="J16" s="90">
        <f>VLOOKUP("新豐10線",'0520 4度C'!$A:$T,19,0)</f>
        <v>0.20833333333333334</v>
      </c>
      <c r="K16" s="91">
        <f>VLOOKUP("新豐8線",'0520 4度C'!$A:$T,19,0)</f>
        <v>8.3333333333333329E-2</v>
      </c>
      <c r="L16" s="92">
        <f>VLOOKUP("新豐9線",'0520 4度C'!$A:$T,19,0)</f>
        <v>8.3333333333333329E-2</v>
      </c>
      <c r="M16" s="93">
        <f>VLOOKUP("新豐4線",'0520 4度C'!$A:$T,19,0)</f>
        <v>8.3333333333333329E-2</v>
      </c>
    </row>
    <row r="17" spans="2:13" ht="17.25" customHeight="1">
      <c r="B17" s="527"/>
      <c r="C17" s="87" t="s">
        <v>1990</v>
      </c>
      <c r="D17" s="91">
        <f>LOOKUP(2,1/(('0520 4度C'!$A:$A="新豐6線")*('0520 4度C'!$T:$T&lt;&gt;"")),'0520 4度C'!$T:$T)</f>
        <v>0.81527777777777777</v>
      </c>
      <c r="E17" s="89">
        <f>LOOKUP(2,1/(('0520 4度C'!$A:$A="新豐2線")*('0520 4度C'!$T:$T&lt;&gt;"")),'0520 4度C'!$T:$T)</f>
        <v>0.61319444444444438</v>
      </c>
      <c r="F17" s="89">
        <f>LOOKUP(2,1/(('0520 4度C'!$A:$A="新豐5線")*('0520 4度C'!$T:$T&lt;&gt;"")),'0520 4度C'!$T:$T)</f>
        <v>0.91874999999999984</v>
      </c>
      <c r="G17" s="89">
        <f>LOOKUP(2,1/(('0520 4度C'!$A:$A="新豐7線")*('0520 4度C'!$T:$T&lt;&gt;"")),'0520 4度C'!$T:$T)</f>
        <v>0.79999999999999993</v>
      </c>
      <c r="H17" s="89">
        <f>LOOKUP(2,1/(('0520 4度C'!$A:$A="新豐3線")*('0520 4度C'!$T:$T&lt;&gt;"")),'0520 4度C'!$T:$T)</f>
        <v>0.41249999999999998</v>
      </c>
      <c r="I17" s="89">
        <f>LOOKUP(2,1/(('0520 4度C'!$A:$A="新豐1線")*('0520 4度C'!$T:$T&lt;&gt;"")),'0520 4度C'!$T:$T)</f>
        <v>0.77638888888888891</v>
      </c>
      <c r="J17" s="90">
        <f>LOOKUP(2,1/(('0520 4度C'!$A:$A="新豐10線")*('0520 4度C'!$T:$T&lt;&gt;"")),'0520 4度C'!$T:$T)</f>
        <v>0.39861111111111103</v>
      </c>
      <c r="K17" s="88">
        <f>LOOKUP(2,1/(('0520 4度C'!$A:$A="新豐8線")*('0520 4度C'!$T:$T&lt;&gt;"")),'0520 4度C'!$T:$T)</f>
        <v>0.73819444444444438</v>
      </c>
      <c r="L17" s="89">
        <f>LOOKUP(2,1/(('0520 4度C'!$A:$A="新豐9線")*('0520 4度C'!$T:$T&lt;&gt;"")),'0520 4度C'!$T:$T)</f>
        <v>0.70069444444444451</v>
      </c>
      <c r="M17" s="90">
        <f>LOOKUP(2,1/(('0520 4度C'!$A:$A="新豐4線")*('0520 4度C'!$T:$T&lt;&gt;"")),'0520 4度C'!$T:$T)</f>
        <v>0.73541666666666661</v>
      </c>
    </row>
    <row r="18" spans="2:13" ht="17.25" customHeight="1">
      <c r="B18" s="505" t="s">
        <v>1991</v>
      </c>
      <c r="C18" s="94" t="s">
        <v>1992</v>
      </c>
      <c r="D18" s="95">
        <f>SUMIFS('0520 4度C'!$Y:$Y,'0520 4度C'!$A:$A,"新豐6線",'0520 4度C'!$B:$B,"平均")</f>
        <v>0</v>
      </c>
      <c r="E18" s="96">
        <f>SUMIFS('0520 4度C'!$Y:$Y,'0520 4度C'!$A:$A,"新豐2線",'0520 4度C'!$B:$B,"平均")</f>
        <v>0</v>
      </c>
      <c r="F18" s="96">
        <f>SUMIFS('0520 4度C'!$Y:$Y,'0520 4度C'!$A:$A,"新豐5線",'0520 4度C'!$B:$B,"平均")</f>
        <v>0</v>
      </c>
      <c r="G18" s="96">
        <f>SUMIFS('0520 4度C'!$Y:$Y,'0520 4度C'!$A:$A,"新豐7線",'0520 4度C'!$B:$B,"平均")</f>
        <v>0</v>
      </c>
      <c r="H18" s="96">
        <f>SUMIFS('0520 4度C'!$Y:$Y,'0520 4度C'!$A:$A,"新豐3線",'0520 4度C'!$B:$B,"平均")</f>
        <v>0</v>
      </c>
      <c r="I18" s="96">
        <f>SUMIFS('0520 4度C'!$Y:$Y,'0520 4度C'!$A:$A,"新豐1線",'0520 4度C'!$B:$B,"平均")</f>
        <v>0</v>
      </c>
      <c r="J18" s="97">
        <f>SUMIFS('0520 4度C'!$Y:$Y,'0520 4度C'!$A:$A,"新豐10線",'0520 4度C'!$B:$B,"平均")</f>
        <v>0</v>
      </c>
      <c r="K18" s="98">
        <f>SUMIFS('0520 4度C'!$Y:$Y,'0520 4度C'!$A:$A,"新豐8線",'0520 4度C'!$B:$B,"平均")</f>
        <v>0</v>
      </c>
      <c r="L18" s="96">
        <f>SUMIFS('0520 4度C'!$Y:$Y,'0520 4度C'!$A:$A,"新豐9線",'0520 4度C'!$B:$B,"平均")</f>
        <v>0</v>
      </c>
      <c r="M18" s="97">
        <f>SUMIFS('0520 4度C'!$Y:$Y,'0520 4度C'!$A:$A,"新豐4線",'0520 4度C'!$B:$B,"平均")</f>
        <v>0</v>
      </c>
    </row>
    <row r="19" spans="2:13" ht="17.25" customHeight="1">
      <c r="B19" s="506"/>
      <c r="C19" s="94" t="s">
        <v>1993</v>
      </c>
      <c r="D19" s="95">
        <f>SUMIFS('0520 4度C'!$Z:$Z,'0520 4度C'!$A:$A,"新豐6線",'0520 4度C'!$B:$B,"平均")</f>
        <v>0</v>
      </c>
      <c r="E19" s="96">
        <f>SUMIFS('0520 4度C'!$Z:$Z,'0520 4度C'!$A:$A,"新豐2線",'0520 4度C'!$B:$B,"平均")</f>
        <v>0</v>
      </c>
      <c r="F19" s="96">
        <f>SUMIFS('0520 4度C'!$Z:$Z,'0520 4度C'!$A:$A,"新豐5線",'0520 4度C'!$B:$B,"平均")</f>
        <v>0</v>
      </c>
      <c r="G19" s="96">
        <f>SUMIFS('0520 4度C'!$Z:$Z,'0520 4度C'!$A:$A,"新豐7線",'0520 4度C'!$B:$B,"平均")</f>
        <v>0</v>
      </c>
      <c r="H19" s="96">
        <f>SUMIFS('0520 4度C'!$Z:$Z,'0520 4度C'!$A:$A,"新豐3線",'0520 4度C'!$B:$B,"平均")</f>
        <v>0</v>
      </c>
      <c r="I19" s="96">
        <f>SUMIFS('0520 4度C'!$Z:$Z,'0520 4度C'!$A:$A,"新豐1線",'0520 4度C'!$B:$B,"平均")</f>
        <v>0</v>
      </c>
      <c r="J19" s="97">
        <f>SUMIFS('0520 4度C'!$Z:$Z,'0520 4度C'!$A:$A,"新豐10線",'0520 4度C'!$B:$B,"平均")</f>
        <v>0</v>
      </c>
      <c r="K19" s="98">
        <f>SUMIFS('0520 4度C'!$Z:$Z,'0520 4度C'!$A:$A,"新豐8線",'0520 4度C'!$B:$B,"平均")</f>
        <v>0</v>
      </c>
      <c r="L19" s="96">
        <f>SUMIFS('0520 4度C'!$Z:$Z,'0520 4度C'!$A:$A,"新豐9線",'0520 4度C'!$B:$B,"平均")</f>
        <v>0</v>
      </c>
      <c r="M19" s="97">
        <f>SUMIFS('0520 4度C'!$Z:$Z,'0520 4度C'!$A:$A,"新豐4線",'0520 4度C'!$B:$B,"平均")</f>
        <v>0</v>
      </c>
    </row>
    <row r="20" spans="2:13" ht="17.25" customHeight="1">
      <c r="B20" s="505" t="s">
        <v>1994</v>
      </c>
      <c r="C20" s="94" t="s">
        <v>1992</v>
      </c>
      <c r="D20" s="95">
        <f>SUMIFS('0520 4度C'!$AC:$AC,'0520 4度C'!$A:$A,"新豐6線",'0520 4度C'!$B:$B,"平均")</f>
        <v>3</v>
      </c>
      <c r="E20" s="96">
        <f>SUMIFS('0520 4度C'!$AC:$AC,'0520 4度C'!$A:$A,"新豐2線",'0520 4度C'!$B:$B,"平均")</f>
        <v>5</v>
      </c>
      <c r="F20" s="96">
        <f>SUMIFS('0520 4度C'!$AC:$AC,'0520 4度C'!$A:$A,"新豐5線",'0520 4度C'!$B:$B,"平均")</f>
        <v>5</v>
      </c>
      <c r="G20" s="96">
        <f>SUMIFS('0520 4度C'!$AC:$AC,'0520 4度C'!$A:$A,"新豐7線",'0520 4度C'!$B:$B,"平均")</f>
        <v>6</v>
      </c>
      <c r="H20" s="96">
        <f>SUMIFS('0520 4度C'!$AC:$AC,'0520 4度C'!$A:$A,"新豐3線",'0520 4度C'!$B:$B,"平均")</f>
        <v>4</v>
      </c>
      <c r="I20" s="96">
        <f>SUMIFS('0520 4度C'!$AC:$AC,'0520 4度C'!$A:$A,"新豐1線",'0520 4度C'!$B:$B,"平均")</f>
        <v>7</v>
      </c>
      <c r="J20" s="97">
        <f>SUMIFS('0520 4度C'!$AC:$AC,'0520 4度C'!$A:$A,"新豐10線",'0520 4度C'!$B:$B,"平均")</f>
        <v>5</v>
      </c>
      <c r="K20" s="98">
        <f>SUMIFS('0520 4度C'!$AC:$AC,'0520 4度C'!$A:$A,"新豐8線",'0520 4度C'!$B:$B,"平均")</f>
        <v>8</v>
      </c>
      <c r="L20" s="96">
        <f>SUMIFS('0520 4度C'!$AC:$AC,'0520 4度C'!$A:$A,"新豐9線",'0520 4度C'!$B:$B,"平均")</f>
        <v>8</v>
      </c>
      <c r="M20" s="97">
        <f>SUMIFS('0520 4度C'!$AC:$AC,'0520 4度C'!$A:$A,"新豐4線",'0520 4度C'!$B:$B,"平均")</f>
        <v>8</v>
      </c>
    </row>
    <row r="21" spans="2:13" ht="17.25" customHeight="1">
      <c r="B21" s="506"/>
      <c r="C21" s="94" t="s">
        <v>1995</v>
      </c>
      <c r="D21" s="95">
        <f>SUMIFS('0520 4度C'!$AD:$AD,'0520 4度C'!$A:$A,"新豐6線",'0520 4度C'!$B:$B,"平均")</f>
        <v>0</v>
      </c>
      <c r="E21" s="96">
        <f>SUMIFS('0520 4度C'!$AD:$AD,'0520 4度C'!$A:$A,"新豐2線",'0520 4度C'!$B:$B,"平均")</f>
        <v>0</v>
      </c>
      <c r="F21" s="96">
        <f>SUMIFS('0520 4度C'!$AD:$AD,'0520 4度C'!$A:$A,"新豐5線",'0520 4度C'!$B:$B,"平均")</f>
        <v>0</v>
      </c>
      <c r="G21" s="96">
        <f>SUMIFS('0520 4度C'!$AD:$AD,'0520 4度C'!$A:$A,"新豐7線",'0520 4度C'!$B:$B,"平均")</f>
        <v>0</v>
      </c>
      <c r="H21" s="96">
        <f>SUMIFS('0520 4度C'!$AD:$AD,'0520 4度C'!$A:$A,"新豐3線",'0520 4度C'!$B:$B,"平均")</f>
        <v>0</v>
      </c>
      <c r="I21" s="96">
        <f>SUMIFS('0520 4度C'!$AD:$AD,'0520 4度C'!$A:$A,"新豐1線",'0520 4度C'!$B:$B,"平均")</f>
        <v>0</v>
      </c>
      <c r="J21" s="97">
        <f>SUMIFS('0520 4度C'!$AD:$AD,'0520 4度C'!$A:$A,"新豐10線",'0520 4度C'!$B:$B,"平均")</f>
        <v>0</v>
      </c>
      <c r="K21" s="98">
        <f>SUMIFS('0520 4度C'!$AD:$AD,'0520 4度C'!$A:$A,"新豐8線",'0520 4度C'!$B:$B,"平均")</f>
        <v>0</v>
      </c>
      <c r="L21" s="96">
        <f>SUMIFS('0520 4度C'!$AD:$AD,'0520 4度C'!$A:$A,"新豐9線",'0520 4度C'!$B:$B,"平均")</f>
        <v>0</v>
      </c>
      <c r="M21" s="97">
        <f>SUMIFS('0520 4度C'!$AD:$AD,'0520 4度C'!$A:$A,"新豐4線",'0520 4度C'!$B:$B,"平均")</f>
        <v>0</v>
      </c>
    </row>
    <row r="22" spans="2:13" ht="17.25" customHeight="1">
      <c r="B22" s="507" t="s">
        <v>1996</v>
      </c>
      <c r="C22" s="508"/>
      <c r="D22" s="99">
        <f>SUMIFS('0520 4度C'!$I:$I,'0520 4度C'!$A:$A,"新豐6線",'0520 4度C'!$B:$B,"平均")</f>
        <v>16</v>
      </c>
      <c r="E22" s="100">
        <f>SUMIFS('0520 4度C'!$I:$I,'0520 4度C'!$A:$A,"新豐2線",'0520 4度C'!$B:$B,"平均")</f>
        <v>17.600000000000001</v>
      </c>
      <c r="F22" s="100">
        <f>SUMIFS('0520 4度C'!$I:$I,'0520 4度C'!$A:$A,"新豐5線",'0520 4度C'!$B:$B,"平均")</f>
        <v>16.600000000000001</v>
      </c>
      <c r="G22" s="100">
        <f>SUMIFS('0520 4度C'!$I:$I,'0520 4度C'!$A:$A,"新豐7線",'0520 4度C'!$B:$B,"平均")</f>
        <v>15.833333333333334</v>
      </c>
      <c r="H22" s="100">
        <f>SUMIFS('0520 4度C'!$I:$I,'0520 4度C'!$A:$A,"新豐3線",'0520 4度C'!$B:$B,"平均")</f>
        <v>10.75</v>
      </c>
      <c r="I22" s="100">
        <f>SUMIFS('0520 4度C'!$I:$I,'0520 4度C'!$A:$A,"新豐1線",'0520 4度C'!$B:$B,"平均")</f>
        <v>19.285714285714285</v>
      </c>
      <c r="J22" s="101">
        <f>SUMIFS('0520 4度C'!$I:$I,'0520 4度C'!$A:$A,"新豐10線",'0520 4度C'!$B:$B,"平均")</f>
        <v>9.4</v>
      </c>
      <c r="K22" s="99">
        <f>SUMIFS('0520 4度C'!$I:$I,'0520 4度C'!$A:$A,"新豐8線",'0520 4度C'!$B:$B,"平均")</f>
        <v>17.625</v>
      </c>
      <c r="L22" s="100">
        <f>SUMIFS('0520 4度C'!$I:$I,'0520 4度C'!$A:$A,"新豐9線",'0520 4度C'!$B:$B,"平均")</f>
        <v>17</v>
      </c>
      <c r="M22" s="101">
        <f>SUMIFS('0520 4度C'!$I:$I,'0520 4度C'!$A:$A,"新豐4線",'0520 4度C'!$B:$B,"平均")</f>
        <v>16</v>
      </c>
    </row>
    <row r="23" spans="2:13" ht="17.25" customHeight="1">
      <c r="B23" s="507" t="s">
        <v>1997</v>
      </c>
      <c r="C23" s="508"/>
      <c r="D23" s="102" t="s">
        <v>177</v>
      </c>
      <c r="E23" s="103" t="s">
        <v>178</v>
      </c>
      <c r="F23" s="103" t="s">
        <v>1998</v>
      </c>
      <c r="G23" s="103" t="s">
        <v>1998</v>
      </c>
      <c r="H23" s="103" t="s">
        <v>180</v>
      </c>
      <c r="I23" s="103" t="s">
        <v>177</v>
      </c>
      <c r="J23" s="104" t="s">
        <v>180</v>
      </c>
      <c r="K23" s="102" t="s">
        <v>1999</v>
      </c>
      <c r="L23" s="103" t="s">
        <v>2000</v>
      </c>
      <c r="M23" s="104" t="s">
        <v>2000</v>
      </c>
    </row>
    <row r="24" spans="2:13" ht="17.25" customHeight="1">
      <c r="B24" s="507" t="s">
        <v>2001</v>
      </c>
      <c r="C24" s="508"/>
      <c r="D24" s="102"/>
      <c r="E24" s="103"/>
      <c r="F24" s="103" t="s">
        <v>2002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2003</v>
      </c>
      <c r="C25" s="510"/>
      <c r="D25" s="105"/>
      <c r="E25" s="106" t="s">
        <v>186</v>
      </c>
      <c r="F25" s="503" t="s">
        <v>2004</v>
      </c>
      <c r="G25" s="504"/>
      <c r="H25" s="106" t="s">
        <v>2005</v>
      </c>
      <c r="I25" s="106" t="s">
        <v>2006</v>
      </c>
      <c r="J25" s="107" t="s">
        <v>2005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18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4"/>
  <sheetViews>
    <sheetView zoomScale="80" zoomScaleNormal="80" workbookViewId="0">
      <pane ySplit="4" topLeftCell="A40" activePane="bottomLeft" state="frozen"/>
      <selection activeCell="G9" sqref="G9"/>
      <selection pane="bottomLeft" activeCell="L12" sqref="L1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2007</v>
      </c>
      <c r="B1" s="1"/>
      <c r="C1" s="2" t="s">
        <v>2008</v>
      </c>
      <c r="D1" s="3">
        <f>SUM(F5:F73)</f>
        <v>175536</v>
      </c>
      <c r="E1" s="343" t="s">
        <v>2009</v>
      </c>
      <c r="F1" s="1">
        <f>SUM(G5:G73)</f>
        <v>5856235.5999999996</v>
      </c>
      <c r="G1" s="1" t="s">
        <v>2010</v>
      </c>
      <c r="H1" s="5">
        <f>L8+L14+L50+L58+L20+L64+L36+L45+L27+L73</f>
        <v>156.09404761904764</v>
      </c>
      <c r="I1" s="617" t="s">
        <v>2011</v>
      </c>
      <c r="J1" s="617"/>
      <c r="K1" s="617"/>
      <c r="L1" s="617" t="s">
        <v>2012</v>
      </c>
      <c r="M1" s="617"/>
      <c r="N1" s="617"/>
      <c r="O1" s="617" t="s">
        <v>2013</v>
      </c>
      <c r="P1" s="617"/>
      <c r="Q1" s="617"/>
      <c r="R1" s="617"/>
      <c r="S1" s="617" t="s">
        <v>2014</v>
      </c>
      <c r="T1" s="617"/>
      <c r="U1" s="617"/>
      <c r="V1" s="617"/>
      <c r="W1" s="617"/>
      <c r="X1" s="617"/>
      <c r="Y1" s="6" t="s">
        <v>2015</v>
      </c>
      <c r="Z1" s="7" t="s">
        <v>2016</v>
      </c>
      <c r="AA1" s="618" t="s">
        <v>2017</v>
      </c>
      <c r="AB1" s="618"/>
      <c r="AC1" s="8" t="s">
        <v>2015</v>
      </c>
      <c r="AD1" s="7" t="s">
        <v>2018</v>
      </c>
      <c r="AE1" s="617" t="s">
        <v>2019</v>
      </c>
      <c r="AF1" s="619"/>
      <c r="AG1" s="619"/>
    </row>
    <row r="2" spans="1:33" ht="26.25" customHeight="1">
      <c r="A2" s="37">
        <v>46162</v>
      </c>
      <c r="B2" s="38" t="s">
        <v>584</v>
      </c>
      <c r="C2" s="2" t="s">
        <v>1984</v>
      </c>
      <c r="D2" s="10">
        <f>AVERAGE(N8,N14,N50,N58,N20,N64,N27,N36,N45,N73)</f>
        <v>147.00330111861481</v>
      </c>
      <c r="E2" s="11" t="s">
        <v>14</v>
      </c>
      <c r="F2" s="12">
        <f>F1/D1</f>
        <v>33.362020326314827</v>
      </c>
      <c r="G2" s="1" t="s">
        <v>2020</v>
      </c>
      <c r="H2" s="349">
        <f>COUNT(H5:H73)</f>
        <v>12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SUM(Y8+Y14+Y20+Y27+Y36+Y45+Y50+Y58+Y64+Y73)</f>
        <v>0</v>
      </c>
      <c r="Z2" s="14">
        <f>SUM(Z8+Z14+Z20+Z27+Z36+Z45+Z50+Z58+Z64+Z73)</f>
        <v>0</v>
      </c>
      <c r="AA2" s="618"/>
      <c r="AB2" s="618"/>
      <c r="AC2" s="14">
        <v>59</v>
      </c>
      <c r="AD2" s="14">
        <f>SUM(AD8+AD14+AD20+AD27+AD36+AD45+AD50+AD58+AD64+AD73)</f>
        <v>0</v>
      </c>
      <c r="AE2" s="619"/>
      <c r="AF2" s="619"/>
      <c r="AG2" s="619"/>
    </row>
    <row r="3" spans="1:33" ht="40.5" customHeight="1">
      <c r="A3" s="575" t="s">
        <v>2021</v>
      </c>
      <c r="B3" s="575" t="s">
        <v>2022</v>
      </c>
      <c r="C3" s="575" t="s">
        <v>2023</v>
      </c>
      <c r="D3" s="575"/>
      <c r="E3" s="615" t="s">
        <v>2024</v>
      </c>
      <c r="F3" s="575" t="s">
        <v>2025</v>
      </c>
      <c r="G3" s="615" t="s">
        <v>2026</v>
      </c>
      <c r="H3" s="608" t="s">
        <v>2027</v>
      </c>
      <c r="I3" s="606" t="s">
        <v>2028</v>
      </c>
      <c r="J3" s="603" t="s">
        <v>2029</v>
      </c>
      <c r="K3" s="613" t="s">
        <v>1984</v>
      </c>
      <c r="L3" s="606" t="s">
        <v>2028</v>
      </c>
      <c r="M3" s="603" t="s">
        <v>2029</v>
      </c>
      <c r="N3" s="613" t="s">
        <v>1984</v>
      </c>
      <c r="O3" s="606" t="s">
        <v>2028</v>
      </c>
      <c r="P3" s="613" t="s">
        <v>1984</v>
      </c>
      <c r="Q3" s="604" t="s">
        <v>2030</v>
      </c>
      <c r="R3" s="582" t="s">
        <v>2031</v>
      </c>
      <c r="S3" s="575" t="s">
        <v>28</v>
      </c>
      <c r="T3" s="575"/>
      <c r="U3" s="608" t="s">
        <v>29</v>
      </c>
      <c r="V3" s="608" t="s">
        <v>2032</v>
      </c>
      <c r="W3" s="575" t="s">
        <v>2033</v>
      </c>
      <c r="X3" s="575"/>
      <c r="Y3" s="609" t="s">
        <v>2034</v>
      </c>
      <c r="Z3" s="572"/>
      <c r="AA3" s="610" t="s">
        <v>2035</v>
      </c>
      <c r="AB3" s="611"/>
      <c r="AC3" s="609" t="s">
        <v>2036</v>
      </c>
      <c r="AD3" s="572"/>
      <c r="AE3" s="603" t="s">
        <v>2029</v>
      </c>
      <c r="AF3" s="604" t="s">
        <v>2030</v>
      </c>
      <c r="AG3" s="582" t="s">
        <v>2031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343" t="s">
        <v>36</v>
      </c>
      <c r="T4" s="343" t="s">
        <v>37</v>
      </c>
      <c r="U4" s="608"/>
      <c r="V4" s="608"/>
      <c r="W4" s="343" t="s">
        <v>2037</v>
      </c>
      <c r="X4" s="343" t="s">
        <v>2038</v>
      </c>
      <c r="Y4" s="342" t="s">
        <v>1992</v>
      </c>
      <c r="Z4" s="342" t="s">
        <v>2039</v>
      </c>
      <c r="AA4" s="612"/>
      <c r="AB4" s="611"/>
      <c r="AC4" s="342" t="s">
        <v>2040</v>
      </c>
      <c r="AD4" s="342" t="s">
        <v>2041</v>
      </c>
      <c r="AE4" s="603"/>
      <c r="AF4" s="604"/>
      <c r="AG4" s="582"/>
    </row>
    <row r="5" spans="1:33">
      <c r="A5" s="605" t="s">
        <v>2042</v>
      </c>
      <c r="B5" s="39" t="s">
        <v>74</v>
      </c>
      <c r="C5" s="607" t="s">
        <v>75</v>
      </c>
      <c r="D5" s="607"/>
      <c r="E5" s="39">
        <v>50.67</v>
      </c>
      <c r="F5" s="348">
        <v>1293</v>
      </c>
      <c r="G5" s="343">
        <f t="shared" ref="G5:G7" si="0">E5*F5</f>
        <v>65516.310000000005</v>
      </c>
      <c r="H5" s="48" t="s">
        <v>126</v>
      </c>
      <c r="I5" s="346">
        <v>17</v>
      </c>
      <c r="J5" s="43">
        <v>2000</v>
      </c>
      <c r="K5" s="18">
        <f t="shared" ref="K5:K68" si="1">J5/I5</f>
        <v>117.64705882352941</v>
      </c>
      <c r="L5" s="346">
        <v>17</v>
      </c>
      <c r="M5" s="19">
        <f t="shared" ref="M5:M7" si="2">F5/V5*60</f>
        <v>1939.4999999999993</v>
      </c>
      <c r="N5" s="18">
        <f t="shared" ref="N5:N68" si="3">M5/L5</f>
        <v>114.08823529411761</v>
      </c>
      <c r="O5" s="20">
        <f t="shared" ref="O5:O68" si="4">L5-I5</f>
        <v>0</v>
      </c>
      <c r="P5" s="21">
        <f t="shared" ref="P5:P68" si="5">N5-K5</f>
        <v>-3.5588235294117965</v>
      </c>
      <c r="Q5" s="344">
        <f t="shared" ref="Q5:Q68" si="6">N5/K5</f>
        <v>0.96974999999999978</v>
      </c>
      <c r="R5" s="573">
        <f>Q8</f>
        <v>0.96890707133917398</v>
      </c>
      <c r="S5" s="49">
        <v>0.70833333333333337</v>
      </c>
      <c r="T5" s="49">
        <v>0.73611111111111116</v>
      </c>
      <c r="U5" s="343"/>
      <c r="V5" s="347">
        <f t="shared" ref="V5:V7" si="7">(T5-S5)*24*60</f>
        <v>40.000000000000014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57" si="8">M5-J5</f>
        <v>-60.500000000000682</v>
      </c>
      <c r="AF5" s="344">
        <f t="shared" ref="AF5:AF68" si="9">M5/J5</f>
        <v>0.96974999999999967</v>
      </c>
      <c r="AG5" s="573">
        <f>AF8</f>
        <v>0.96890707133917398</v>
      </c>
    </row>
    <row r="6" spans="1:33">
      <c r="A6" s="606" t="s">
        <v>2042</v>
      </c>
      <c r="B6" s="39" t="s">
        <v>74</v>
      </c>
      <c r="C6" s="607" t="s">
        <v>77</v>
      </c>
      <c r="D6" s="607"/>
      <c r="E6" s="39">
        <v>50.67</v>
      </c>
      <c r="F6" s="348">
        <v>1514</v>
      </c>
      <c r="G6" s="343">
        <f t="shared" si="0"/>
        <v>76714.38</v>
      </c>
      <c r="H6" s="48" t="s">
        <v>126</v>
      </c>
      <c r="I6" s="346">
        <v>15</v>
      </c>
      <c r="J6" s="43">
        <v>2000</v>
      </c>
      <c r="K6" s="18">
        <f t="shared" si="1"/>
        <v>133.33333333333334</v>
      </c>
      <c r="L6" s="346">
        <v>15</v>
      </c>
      <c r="M6" s="19">
        <f t="shared" si="2"/>
        <v>1932.7659574468087</v>
      </c>
      <c r="N6" s="18">
        <f t="shared" si="3"/>
        <v>128.85106382978725</v>
      </c>
      <c r="O6" s="20">
        <f t="shared" si="4"/>
        <v>0</v>
      </c>
      <c r="P6" s="21">
        <f t="shared" si="5"/>
        <v>-4.4822695035460924</v>
      </c>
      <c r="Q6" s="344">
        <f t="shared" si="6"/>
        <v>0.96638297872340428</v>
      </c>
      <c r="R6" s="573"/>
      <c r="S6" s="49">
        <v>0.7416666666666667</v>
      </c>
      <c r="T6" s="49">
        <v>0.77430555555555558</v>
      </c>
      <c r="U6" s="343">
        <f t="shared" ref="U6:U7" si="10">IF(S6=TIME(17,0,0),"",(S6-T5)*24*60)</f>
        <v>7.9999999999999716</v>
      </c>
      <c r="V6" s="347">
        <f t="shared" si="7"/>
        <v>46.999999999999993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-67.23404255319133</v>
      </c>
      <c r="AF6" s="344">
        <f t="shared" si="9"/>
        <v>0.96638297872340428</v>
      </c>
      <c r="AG6" s="573"/>
    </row>
    <row r="7" spans="1:33">
      <c r="A7" s="606" t="s">
        <v>2042</v>
      </c>
      <c r="B7" s="39" t="s">
        <v>74</v>
      </c>
      <c r="C7" s="598" t="s">
        <v>78</v>
      </c>
      <c r="D7" s="599"/>
      <c r="E7" s="39">
        <v>52.86</v>
      </c>
      <c r="F7" s="348">
        <v>1650</v>
      </c>
      <c r="G7" s="343">
        <f t="shared" si="0"/>
        <v>87219</v>
      </c>
      <c r="H7" s="48" t="s">
        <v>126</v>
      </c>
      <c r="I7" s="346">
        <v>16</v>
      </c>
      <c r="J7" s="43">
        <v>2000</v>
      </c>
      <c r="K7" s="18">
        <f t="shared" si="1"/>
        <v>125</v>
      </c>
      <c r="L7" s="346">
        <v>16</v>
      </c>
      <c r="M7" s="19">
        <f t="shared" si="2"/>
        <v>1941.176470588236</v>
      </c>
      <c r="N7" s="18">
        <f t="shared" si="3"/>
        <v>121.32352941176475</v>
      </c>
      <c r="O7" s="20">
        <f t="shared" si="4"/>
        <v>0</v>
      </c>
      <c r="P7" s="21">
        <f t="shared" si="5"/>
        <v>-3.6764705882352473</v>
      </c>
      <c r="Q7" s="344">
        <f t="shared" si="6"/>
        <v>0.97058823529411797</v>
      </c>
      <c r="R7" s="573"/>
      <c r="S7" s="49">
        <v>0.77986111111111112</v>
      </c>
      <c r="T7" s="49">
        <v>0.81527777777777777</v>
      </c>
      <c r="U7" s="343">
        <f t="shared" si="10"/>
        <v>7.9999999999999716</v>
      </c>
      <c r="V7" s="347">
        <f t="shared" si="7"/>
        <v>50.999999999999979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-58.823529411763957</v>
      </c>
      <c r="AF7" s="344">
        <f t="shared" si="9"/>
        <v>0.97058823529411797</v>
      </c>
      <c r="AG7" s="573"/>
    </row>
    <row r="8" spans="1:33">
      <c r="A8" s="606" t="s">
        <v>2042</v>
      </c>
      <c r="B8" s="39" t="s">
        <v>2043</v>
      </c>
      <c r="C8" s="576"/>
      <c r="D8" s="576"/>
      <c r="E8" s="345"/>
      <c r="F8" s="42"/>
      <c r="G8" s="18"/>
      <c r="H8" s="348"/>
      <c r="I8" s="32">
        <v>16</v>
      </c>
      <c r="J8" s="43">
        <v>2000</v>
      </c>
      <c r="K8" s="18">
        <f t="shared" si="1"/>
        <v>125</v>
      </c>
      <c r="L8" s="32">
        <v>16</v>
      </c>
      <c r="M8" s="19">
        <f>AVERAGE(M5:M7)</f>
        <v>1937.8141426783479</v>
      </c>
      <c r="N8" s="18">
        <f t="shared" si="3"/>
        <v>121.11338391739675</v>
      </c>
      <c r="O8" s="20">
        <f t="shared" si="4"/>
        <v>0</v>
      </c>
      <c r="P8" s="21">
        <f t="shared" si="5"/>
        <v>-3.8866160826032541</v>
      </c>
      <c r="Q8" s="344">
        <f t="shared" si="6"/>
        <v>0.96890707133917398</v>
      </c>
      <c r="R8" s="573"/>
      <c r="S8" s="49"/>
      <c r="T8" s="49"/>
      <c r="U8" s="343"/>
      <c r="V8" s="347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-62.185857321652065</v>
      </c>
      <c r="AF8" s="344">
        <f t="shared" si="9"/>
        <v>0.96890707133917398</v>
      </c>
      <c r="AG8" s="573"/>
    </row>
    <row r="9" spans="1:33" ht="15.75" customHeight="1">
      <c r="A9" s="602" t="s">
        <v>2044</v>
      </c>
      <c r="B9" s="39" t="s">
        <v>79</v>
      </c>
      <c r="C9" s="598" t="s">
        <v>80</v>
      </c>
      <c r="D9" s="599"/>
      <c r="E9" s="39">
        <v>39.619999999999997</v>
      </c>
      <c r="F9" s="348">
        <v>3000</v>
      </c>
      <c r="G9" s="343">
        <f t="shared" ref="G9:G13" si="11">E9*F9</f>
        <v>118859.99999999999</v>
      </c>
      <c r="H9" s="48">
        <v>2</v>
      </c>
      <c r="I9" s="346">
        <v>19</v>
      </c>
      <c r="J9" s="43">
        <v>1500</v>
      </c>
      <c r="K9" s="18">
        <f t="shared" si="1"/>
        <v>78.94736842105263</v>
      </c>
      <c r="L9" s="346">
        <v>19</v>
      </c>
      <c r="M9" s="19">
        <f t="shared" ref="M9:M13" si="12">F9/V9*60</f>
        <v>1428.5714285714287</v>
      </c>
      <c r="N9" s="18">
        <f t="shared" si="3"/>
        <v>75.187969924812037</v>
      </c>
      <c r="O9" s="20">
        <f t="shared" si="4"/>
        <v>0</v>
      </c>
      <c r="P9" s="21">
        <f t="shared" si="5"/>
        <v>-3.7593984962405926</v>
      </c>
      <c r="Q9" s="344">
        <f t="shared" si="6"/>
        <v>0.95238095238095244</v>
      </c>
      <c r="R9" s="573">
        <f>Q14</f>
        <v>0.95590436983885185</v>
      </c>
      <c r="S9" s="49">
        <v>8.3333333333333329E-2</v>
      </c>
      <c r="T9" s="49">
        <v>0.17083333333333334</v>
      </c>
      <c r="U9" s="343"/>
      <c r="V9" s="347">
        <f t="shared" ref="V9:V13" si="13">(T9-S9)*24*60</f>
        <v>126</v>
      </c>
      <c r="W9" s="25">
        <f>T9</f>
        <v>0.17083333333333334</v>
      </c>
      <c r="X9" s="25">
        <f>S10</f>
        <v>0.19166666666666668</v>
      </c>
      <c r="Y9" s="25"/>
      <c r="Z9" s="25"/>
      <c r="AA9" s="575"/>
      <c r="AB9" s="575"/>
      <c r="AC9" s="50">
        <v>5</v>
      </c>
      <c r="AD9" s="27"/>
      <c r="AE9" s="20">
        <f t="shared" si="8"/>
        <v>-71.428571428571331</v>
      </c>
      <c r="AF9" s="344">
        <f t="shared" si="9"/>
        <v>0.95238095238095244</v>
      </c>
      <c r="AG9" s="573">
        <f>AF14</f>
        <v>0.95590436983885185</v>
      </c>
    </row>
    <row r="10" spans="1:33" ht="15.75" customHeight="1">
      <c r="A10" s="602" t="s">
        <v>2044</v>
      </c>
      <c r="B10" s="39" t="s">
        <v>79</v>
      </c>
      <c r="C10" s="598" t="s">
        <v>81</v>
      </c>
      <c r="D10" s="599"/>
      <c r="E10" s="39">
        <v>39.799999999999997</v>
      </c>
      <c r="F10" s="348">
        <v>4300</v>
      </c>
      <c r="G10" s="343">
        <f t="shared" si="11"/>
        <v>171140</v>
      </c>
      <c r="H10" s="48">
        <v>2</v>
      </c>
      <c r="I10" s="346">
        <v>17</v>
      </c>
      <c r="J10" s="43">
        <v>1500</v>
      </c>
      <c r="K10" s="18">
        <f t="shared" si="1"/>
        <v>88.235294117647058</v>
      </c>
      <c r="L10" s="346">
        <v>17</v>
      </c>
      <c r="M10" s="19">
        <f t="shared" si="12"/>
        <v>1433.3333333333337</v>
      </c>
      <c r="N10" s="18">
        <f t="shared" si="3"/>
        <v>84.313725490196106</v>
      </c>
      <c r="O10" s="20">
        <f t="shared" si="4"/>
        <v>0</v>
      </c>
      <c r="P10" s="21">
        <f t="shared" si="5"/>
        <v>-3.9215686274509522</v>
      </c>
      <c r="Q10" s="344">
        <f t="shared" si="6"/>
        <v>0.95555555555555582</v>
      </c>
      <c r="R10" s="573"/>
      <c r="S10" s="49">
        <v>0.19166666666666668</v>
      </c>
      <c r="T10" s="49">
        <v>0.31666666666666665</v>
      </c>
      <c r="U10" s="343">
        <f t="shared" ref="U10:U13" si="14">IF(S10=TIME(17,0,0),"",(S10-T9)*24*60)</f>
        <v>30.000000000000014</v>
      </c>
      <c r="V10" s="347">
        <f t="shared" si="13"/>
        <v>179.99999999999994</v>
      </c>
      <c r="W10" s="25"/>
      <c r="X10" s="25"/>
      <c r="Y10" s="25"/>
      <c r="Z10" s="25"/>
      <c r="AA10" s="575"/>
      <c r="AB10" s="575"/>
      <c r="AC10" s="50"/>
      <c r="AD10" s="27"/>
      <c r="AE10" s="20">
        <f t="shared" si="8"/>
        <v>-66.666666666666288</v>
      </c>
      <c r="AF10" s="344">
        <f t="shared" si="9"/>
        <v>0.95555555555555582</v>
      </c>
      <c r="AG10" s="573"/>
    </row>
    <row r="11" spans="1:33" ht="15.75" customHeight="1">
      <c r="A11" s="602" t="s">
        <v>2045</v>
      </c>
      <c r="B11" s="39" t="s">
        <v>79</v>
      </c>
      <c r="C11" s="598" t="s">
        <v>1953</v>
      </c>
      <c r="D11" s="599"/>
      <c r="E11" s="39">
        <v>39.46</v>
      </c>
      <c r="F11" s="348">
        <v>5322</v>
      </c>
      <c r="G11" s="343">
        <f t="shared" si="11"/>
        <v>210006.12</v>
      </c>
      <c r="H11" s="48" t="s">
        <v>126</v>
      </c>
      <c r="I11" s="346">
        <v>16</v>
      </c>
      <c r="J11" s="43">
        <v>1500</v>
      </c>
      <c r="K11" s="18">
        <f t="shared" si="1"/>
        <v>93.75</v>
      </c>
      <c r="L11" s="346">
        <v>16</v>
      </c>
      <c r="M11" s="19">
        <f t="shared" si="12"/>
        <v>1431.9282511210761</v>
      </c>
      <c r="N11" s="18">
        <f t="shared" si="3"/>
        <v>89.495515695067255</v>
      </c>
      <c r="O11" s="20">
        <f t="shared" si="4"/>
        <v>0</v>
      </c>
      <c r="P11" s="21">
        <f t="shared" si="5"/>
        <v>-4.2544843049327454</v>
      </c>
      <c r="Q11" s="344">
        <f t="shared" si="6"/>
        <v>0.95461883408071735</v>
      </c>
      <c r="R11" s="573"/>
      <c r="S11" s="49">
        <v>0.32152777777777775</v>
      </c>
      <c r="T11" s="49">
        <v>0.47638888888888886</v>
      </c>
      <c r="U11" s="343">
        <f t="shared" si="14"/>
        <v>6.9999999999999751</v>
      </c>
      <c r="V11" s="347">
        <f t="shared" si="13"/>
        <v>223</v>
      </c>
      <c r="W11" s="25">
        <f>T11</f>
        <v>0.47638888888888886</v>
      </c>
      <c r="X11" s="25">
        <f>S12</f>
        <v>0.51805555555555549</v>
      </c>
      <c r="Y11" s="25"/>
      <c r="Z11" s="25"/>
      <c r="AA11" s="575"/>
      <c r="AB11" s="575"/>
      <c r="AC11" s="50"/>
      <c r="AD11" s="27"/>
      <c r="AE11" s="20">
        <f t="shared" si="8"/>
        <v>-68.071748878923927</v>
      </c>
      <c r="AF11" s="344">
        <f t="shared" si="9"/>
        <v>0.95461883408071735</v>
      </c>
      <c r="AG11" s="573"/>
    </row>
    <row r="12" spans="1:33" ht="15.75" customHeight="1">
      <c r="A12" s="602" t="s">
        <v>2044</v>
      </c>
      <c r="B12" s="39" t="s">
        <v>79</v>
      </c>
      <c r="C12" s="598" t="s">
        <v>81</v>
      </c>
      <c r="D12" s="599"/>
      <c r="E12" s="39">
        <v>39.799999999999997</v>
      </c>
      <c r="F12" s="348">
        <v>1821</v>
      </c>
      <c r="G12" s="343">
        <f t="shared" si="11"/>
        <v>72475.799999999988</v>
      </c>
      <c r="H12" s="48" t="s">
        <v>126</v>
      </c>
      <c r="I12" s="346">
        <v>17</v>
      </c>
      <c r="J12" s="43">
        <v>1500</v>
      </c>
      <c r="K12" s="18">
        <f t="shared" si="1"/>
        <v>88.235294117647058</v>
      </c>
      <c r="L12" s="346">
        <v>17</v>
      </c>
      <c r="M12" s="19">
        <f t="shared" si="12"/>
        <v>1437.6315789473672</v>
      </c>
      <c r="N12" s="18">
        <f t="shared" si="3"/>
        <v>84.566563467492188</v>
      </c>
      <c r="O12" s="20">
        <f t="shared" si="4"/>
        <v>0</v>
      </c>
      <c r="P12" s="21">
        <f t="shared" si="5"/>
        <v>-3.6687306501548704</v>
      </c>
      <c r="Q12" s="344">
        <f t="shared" si="6"/>
        <v>0.95842105263157817</v>
      </c>
      <c r="R12" s="573"/>
      <c r="S12" s="49">
        <v>0.51805555555555549</v>
      </c>
      <c r="T12" s="49">
        <v>0.5708333333333333</v>
      </c>
      <c r="U12" s="343">
        <f t="shared" si="14"/>
        <v>59.999999999999943</v>
      </c>
      <c r="V12" s="347">
        <f t="shared" si="13"/>
        <v>76.000000000000057</v>
      </c>
      <c r="W12" s="25"/>
      <c r="X12" s="25"/>
      <c r="Y12" s="25"/>
      <c r="Z12" s="25"/>
      <c r="AA12" s="568"/>
      <c r="AB12" s="569"/>
      <c r="AC12" s="50"/>
      <c r="AD12" s="27"/>
      <c r="AE12" s="20">
        <f t="shared" si="8"/>
        <v>-62.368421052632812</v>
      </c>
      <c r="AF12" s="344">
        <f t="shared" si="9"/>
        <v>0.95842105263157817</v>
      </c>
      <c r="AG12" s="573"/>
    </row>
    <row r="13" spans="1:33" ht="15.75" customHeight="1">
      <c r="A13" s="602" t="s">
        <v>2044</v>
      </c>
      <c r="B13" s="39" t="s">
        <v>79</v>
      </c>
      <c r="C13" s="598" t="s">
        <v>80</v>
      </c>
      <c r="D13" s="599"/>
      <c r="E13" s="39">
        <v>39.619999999999997</v>
      </c>
      <c r="F13" s="348">
        <v>1318</v>
      </c>
      <c r="G13" s="343">
        <f t="shared" si="11"/>
        <v>52219.159999999996</v>
      </c>
      <c r="H13" s="48" t="s">
        <v>126</v>
      </c>
      <c r="I13" s="346">
        <v>19</v>
      </c>
      <c r="J13" s="43">
        <v>1500</v>
      </c>
      <c r="K13" s="18">
        <f t="shared" si="1"/>
        <v>78.94736842105263</v>
      </c>
      <c r="L13" s="346">
        <v>19</v>
      </c>
      <c r="M13" s="19">
        <f t="shared" si="12"/>
        <v>1437.8181818181827</v>
      </c>
      <c r="N13" s="18">
        <f t="shared" si="3"/>
        <v>75.674641148325406</v>
      </c>
      <c r="O13" s="20">
        <f t="shared" si="4"/>
        <v>0</v>
      </c>
      <c r="P13" s="21">
        <f t="shared" si="5"/>
        <v>-3.2727272727272236</v>
      </c>
      <c r="Q13" s="344">
        <f t="shared" si="6"/>
        <v>0.95854545454545514</v>
      </c>
      <c r="R13" s="573"/>
      <c r="S13" s="49">
        <v>0.57499999999999996</v>
      </c>
      <c r="T13" s="49">
        <v>0.61319444444444438</v>
      </c>
      <c r="U13" s="343">
        <f t="shared" si="14"/>
        <v>5.9999999999999787</v>
      </c>
      <c r="V13" s="347">
        <f t="shared" si="13"/>
        <v>54.999999999999964</v>
      </c>
      <c r="W13" s="25"/>
      <c r="X13" s="25"/>
      <c r="Y13" s="28"/>
      <c r="Z13" s="28"/>
      <c r="AA13" s="568"/>
      <c r="AB13" s="569"/>
      <c r="AC13" s="50"/>
      <c r="AD13" s="27"/>
      <c r="AE13" s="20">
        <f t="shared" si="8"/>
        <v>-62.181818181817334</v>
      </c>
      <c r="AF13" s="344">
        <f t="shared" si="9"/>
        <v>0.95854545454545514</v>
      </c>
      <c r="AG13" s="573"/>
    </row>
    <row r="14" spans="1:33" ht="16.5" customHeight="1">
      <c r="A14" s="602" t="s">
        <v>2044</v>
      </c>
      <c r="B14" s="39" t="s">
        <v>2046</v>
      </c>
      <c r="C14" s="576"/>
      <c r="D14" s="576"/>
      <c r="E14" s="345"/>
      <c r="F14" s="43"/>
      <c r="G14" s="19"/>
      <c r="H14" s="348"/>
      <c r="I14" s="32">
        <v>17.600000000000001</v>
      </c>
      <c r="J14" s="43">
        <v>1500</v>
      </c>
      <c r="K14" s="18">
        <f t="shared" si="1"/>
        <v>85.22727272727272</v>
      </c>
      <c r="L14" s="32">
        <v>17.600000000000001</v>
      </c>
      <c r="M14" s="19">
        <f>AVERAGE(M9:M13)</f>
        <v>1433.8565547582778</v>
      </c>
      <c r="N14" s="18">
        <f t="shared" si="3"/>
        <v>81.469122429447594</v>
      </c>
      <c r="O14" s="20">
        <f t="shared" si="4"/>
        <v>0</v>
      </c>
      <c r="P14" s="21">
        <f t="shared" si="5"/>
        <v>-3.7581502978251251</v>
      </c>
      <c r="Q14" s="344">
        <f t="shared" si="6"/>
        <v>0.95590436983885185</v>
      </c>
      <c r="R14" s="573"/>
      <c r="S14" s="49"/>
      <c r="T14" s="49"/>
      <c r="U14" s="18"/>
      <c r="V14" s="347"/>
      <c r="W14" s="18"/>
      <c r="X14" s="18"/>
      <c r="Y14" s="33">
        <f>SUM(Y9:Y13)</f>
        <v>0</v>
      </c>
      <c r="Z14" s="33">
        <f>SUM(Z9:Z13)</f>
        <v>0</v>
      </c>
      <c r="AA14" s="572"/>
      <c r="AB14" s="572"/>
      <c r="AC14" s="33">
        <v>5</v>
      </c>
      <c r="AD14" s="33">
        <f>SUM(AD9:AD13)</f>
        <v>0</v>
      </c>
      <c r="AE14" s="20">
        <f t="shared" si="8"/>
        <v>-66.143445241722247</v>
      </c>
      <c r="AF14" s="344">
        <f t="shared" si="9"/>
        <v>0.95590436983885185</v>
      </c>
      <c r="AG14" s="573"/>
    </row>
    <row r="15" spans="1:33" ht="16.5" customHeight="1">
      <c r="A15" s="600" t="s">
        <v>2047</v>
      </c>
      <c r="B15" s="348" t="s">
        <v>82</v>
      </c>
      <c r="C15" s="594" t="s">
        <v>83</v>
      </c>
      <c r="D15" s="594"/>
      <c r="E15" s="39">
        <v>41</v>
      </c>
      <c r="F15" s="348">
        <v>1850</v>
      </c>
      <c r="G15" s="343">
        <f t="shared" ref="G15:G19" si="15">E15*F15</f>
        <v>75850</v>
      </c>
      <c r="H15" s="48" t="s">
        <v>126</v>
      </c>
      <c r="I15" s="346">
        <v>26</v>
      </c>
      <c r="J15" s="43">
        <v>1500</v>
      </c>
      <c r="K15" s="18">
        <f t="shared" si="1"/>
        <v>57.692307692307693</v>
      </c>
      <c r="L15" s="346">
        <v>26</v>
      </c>
      <c r="M15" s="19">
        <f t="shared" ref="M15:M19" si="16">F15/V15*60</f>
        <v>1441.5584415584415</v>
      </c>
      <c r="N15" s="18">
        <f t="shared" si="3"/>
        <v>55.444555444555441</v>
      </c>
      <c r="O15" s="20">
        <f t="shared" si="4"/>
        <v>0</v>
      </c>
      <c r="P15" s="21">
        <f t="shared" si="5"/>
        <v>-2.2477522477522527</v>
      </c>
      <c r="Q15" s="344">
        <f t="shared" si="6"/>
        <v>0.96103896103896091</v>
      </c>
      <c r="R15" s="573">
        <f>Q20</f>
        <v>0.95824422930129516</v>
      </c>
      <c r="S15" s="49">
        <v>0.20833333333333334</v>
      </c>
      <c r="T15" s="49">
        <v>0.26180555555555557</v>
      </c>
      <c r="U15" s="343"/>
      <c r="V15" s="347">
        <f t="shared" ref="V15:V19" si="17">(T15-S15)*24*60</f>
        <v>77</v>
      </c>
      <c r="W15" s="30"/>
      <c r="X15" s="30"/>
      <c r="Y15" s="30"/>
      <c r="Z15" s="30"/>
      <c r="AA15" s="575"/>
      <c r="AB15" s="575"/>
      <c r="AC15" s="50">
        <v>5</v>
      </c>
      <c r="AD15" s="27"/>
      <c r="AE15" s="20">
        <f t="shared" si="8"/>
        <v>-58.441558441558527</v>
      </c>
      <c r="AF15" s="344">
        <f t="shared" si="9"/>
        <v>0.96103896103896103</v>
      </c>
      <c r="AG15" s="573">
        <f>AF20</f>
        <v>0.95824422930129505</v>
      </c>
    </row>
    <row r="16" spans="1:33" ht="16.5" customHeight="1">
      <c r="A16" s="601" t="s">
        <v>2048</v>
      </c>
      <c r="B16" s="348" t="s">
        <v>74</v>
      </c>
      <c r="C16" s="594" t="s">
        <v>85</v>
      </c>
      <c r="D16" s="594"/>
      <c r="E16" s="39">
        <v>53.68</v>
      </c>
      <c r="F16" s="348">
        <v>1096</v>
      </c>
      <c r="G16" s="343">
        <f t="shared" si="15"/>
        <v>58833.279999999999</v>
      </c>
      <c r="H16" s="48" t="s">
        <v>126</v>
      </c>
      <c r="I16" s="346">
        <v>16</v>
      </c>
      <c r="J16" s="43">
        <v>1500</v>
      </c>
      <c r="K16" s="18">
        <f t="shared" si="1"/>
        <v>93.75</v>
      </c>
      <c r="L16" s="346">
        <v>16</v>
      </c>
      <c r="M16" s="19">
        <f t="shared" si="16"/>
        <v>1429.5652173913043</v>
      </c>
      <c r="N16" s="18">
        <f t="shared" si="3"/>
        <v>89.347826086956516</v>
      </c>
      <c r="O16" s="20">
        <f t="shared" si="4"/>
        <v>0</v>
      </c>
      <c r="P16" s="21">
        <f t="shared" si="5"/>
        <v>-4.4021739130434838</v>
      </c>
      <c r="Q16" s="344">
        <f t="shared" si="6"/>
        <v>0.95304347826086955</v>
      </c>
      <c r="R16" s="573"/>
      <c r="S16" s="49">
        <v>0.70833333333333337</v>
      </c>
      <c r="T16" s="49">
        <v>0.74027777777777781</v>
      </c>
      <c r="U16" s="343" t="str">
        <f t="shared" ref="U16:U19" si="18">IF(S16=TIME(17,0,0),"",(S16-T15)*24*60)</f>
        <v/>
      </c>
      <c r="V16" s="347">
        <f t="shared" si="17"/>
        <v>46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-70.434782608695741</v>
      </c>
      <c r="AF16" s="344">
        <f t="shared" si="9"/>
        <v>0.95304347826086955</v>
      </c>
      <c r="AG16" s="573"/>
    </row>
    <row r="17" spans="1:33" ht="16.5" customHeight="1">
      <c r="A17" s="601" t="s">
        <v>2048</v>
      </c>
      <c r="B17" s="348" t="s">
        <v>74</v>
      </c>
      <c r="C17" s="594" t="s">
        <v>86</v>
      </c>
      <c r="D17" s="594"/>
      <c r="E17" s="39">
        <v>50.92</v>
      </c>
      <c r="F17" s="348">
        <v>2059</v>
      </c>
      <c r="G17" s="343">
        <f t="shared" si="15"/>
        <v>104844.28</v>
      </c>
      <c r="H17" s="48" t="s">
        <v>126</v>
      </c>
      <c r="I17" s="346">
        <v>15</v>
      </c>
      <c r="J17" s="43">
        <v>2000</v>
      </c>
      <c r="K17" s="18">
        <f t="shared" si="1"/>
        <v>133.33333333333334</v>
      </c>
      <c r="L17" s="346">
        <v>15</v>
      </c>
      <c r="M17" s="19">
        <f t="shared" si="16"/>
        <v>1930.312500000002</v>
      </c>
      <c r="N17" s="18">
        <f t="shared" si="3"/>
        <v>128.68750000000014</v>
      </c>
      <c r="O17" s="20">
        <f t="shared" si="4"/>
        <v>0</v>
      </c>
      <c r="P17" s="21">
        <f t="shared" si="5"/>
        <v>-4.6458333333332007</v>
      </c>
      <c r="Q17" s="344">
        <f t="shared" si="6"/>
        <v>0.96515625000000105</v>
      </c>
      <c r="R17" s="573"/>
      <c r="S17" s="49">
        <v>0.74583333333333335</v>
      </c>
      <c r="T17" s="49">
        <v>0.79027777777777775</v>
      </c>
      <c r="U17" s="343">
        <f t="shared" si="18"/>
        <v>7.9999999999999716</v>
      </c>
      <c r="V17" s="347">
        <f t="shared" si="17"/>
        <v>63.999999999999929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-69.687499999997954</v>
      </c>
      <c r="AF17" s="344">
        <f t="shared" si="9"/>
        <v>0.96515625000000105</v>
      </c>
      <c r="AG17" s="573"/>
    </row>
    <row r="18" spans="1:33" ht="16.5" customHeight="1">
      <c r="A18" s="601" t="s">
        <v>2048</v>
      </c>
      <c r="B18" s="348" t="s">
        <v>74</v>
      </c>
      <c r="C18" s="594" t="s">
        <v>1826</v>
      </c>
      <c r="D18" s="594"/>
      <c r="E18" s="39">
        <v>51.06</v>
      </c>
      <c r="F18" s="348">
        <v>2000</v>
      </c>
      <c r="G18" s="343">
        <f t="shared" si="15"/>
        <v>102120</v>
      </c>
      <c r="H18" s="48">
        <v>2</v>
      </c>
      <c r="I18" s="346">
        <v>13</v>
      </c>
      <c r="J18" s="43">
        <v>2000</v>
      </c>
      <c r="K18" s="18">
        <f t="shared" si="1"/>
        <v>153.84615384615384</v>
      </c>
      <c r="L18" s="346">
        <v>13</v>
      </c>
      <c r="M18" s="19">
        <f t="shared" si="16"/>
        <v>1904.7619047619066</v>
      </c>
      <c r="N18" s="18">
        <f t="shared" si="3"/>
        <v>146.52014652014665</v>
      </c>
      <c r="O18" s="20">
        <f t="shared" si="4"/>
        <v>0</v>
      </c>
      <c r="P18" s="21">
        <f t="shared" si="5"/>
        <v>-7.3260073260071863</v>
      </c>
      <c r="Q18" s="344">
        <f t="shared" si="6"/>
        <v>0.95238095238095333</v>
      </c>
      <c r="R18" s="573"/>
      <c r="S18" s="49">
        <v>0.7944444444444444</v>
      </c>
      <c r="T18" s="49">
        <v>0.83819444444444435</v>
      </c>
      <c r="U18" s="343">
        <f t="shared" si="18"/>
        <v>5.9999999999999787</v>
      </c>
      <c r="V18" s="347">
        <f t="shared" si="17"/>
        <v>62.999999999999936</v>
      </c>
      <c r="W18" s="25">
        <f>T18</f>
        <v>0.83819444444444435</v>
      </c>
      <c r="X18" s="25">
        <f>S19</f>
        <v>0.87708333333333321</v>
      </c>
      <c r="Y18" s="25"/>
      <c r="Z18" s="25"/>
      <c r="AA18" s="575"/>
      <c r="AB18" s="575"/>
      <c r="AC18" s="50"/>
      <c r="AD18" s="27"/>
      <c r="AE18" s="20">
        <f t="shared" si="8"/>
        <v>-95.238095238093365</v>
      </c>
      <c r="AF18" s="344">
        <f t="shared" si="9"/>
        <v>0.95238095238095333</v>
      </c>
      <c r="AG18" s="573"/>
    </row>
    <row r="19" spans="1:33" ht="16.5" customHeight="1">
      <c r="A19" s="601" t="s">
        <v>2048</v>
      </c>
      <c r="B19" s="348" t="s">
        <v>74</v>
      </c>
      <c r="C19" s="594" t="s">
        <v>1826</v>
      </c>
      <c r="D19" s="594"/>
      <c r="E19" s="39">
        <v>51.06</v>
      </c>
      <c r="F19" s="348">
        <v>1918</v>
      </c>
      <c r="G19" s="343">
        <f t="shared" si="15"/>
        <v>97933.08</v>
      </c>
      <c r="H19" s="48" t="s">
        <v>126</v>
      </c>
      <c r="I19" s="346">
        <v>13</v>
      </c>
      <c r="J19" s="43">
        <v>2000</v>
      </c>
      <c r="K19" s="18">
        <f t="shared" si="1"/>
        <v>153.84615384615384</v>
      </c>
      <c r="L19" s="346">
        <v>13</v>
      </c>
      <c r="M19" s="19">
        <f t="shared" si="16"/>
        <v>1918.0000000000018</v>
      </c>
      <c r="N19" s="18">
        <f t="shared" si="3"/>
        <v>147.53846153846169</v>
      </c>
      <c r="O19" s="20">
        <f t="shared" si="4"/>
        <v>0</v>
      </c>
      <c r="P19" s="21">
        <f t="shared" si="5"/>
        <v>-6.3076923076921503</v>
      </c>
      <c r="Q19" s="344">
        <f t="shared" si="6"/>
        <v>0.95900000000000107</v>
      </c>
      <c r="R19" s="573"/>
      <c r="S19" s="49">
        <v>0.87708333333333321</v>
      </c>
      <c r="T19" s="49">
        <v>0.91874999999999984</v>
      </c>
      <c r="U19" s="343">
        <f t="shared" si="18"/>
        <v>55.999999999999957</v>
      </c>
      <c r="V19" s="347">
        <f t="shared" si="17"/>
        <v>59.999999999999943</v>
      </c>
      <c r="W19" s="25"/>
      <c r="X19" s="25"/>
      <c r="Y19" s="25"/>
      <c r="Z19" s="25"/>
      <c r="AA19" s="575"/>
      <c r="AB19" s="575"/>
      <c r="AC19" s="50"/>
      <c r="AD19" s="27"/>
      <c r="AE19" s="20">
        <f t="shared" si="8"/>
        <v>-81.999999999998181</v>
      </c>
      <c r="AF19" s="344">
        <f t="shared" si="9"/>
        <v>0.95900000000000096</v>
      </c>
      <c r="AG19" s="573"/>
    </row>
    <row r="20" spans="1:33" ht="16.5" customHeight="1">
      <c r="A20" s="601" t="s">
        <v>2048</v>
      </c>
      <c r="B20" s="39" t="s">
        <v>2049</v>
      </c>
      <c r="C20" s="576"/>
      <c r="D20" s="576"/>
      <c r="E20" s="345"/>
      <c r="F20" s="42"/>
      <c r="G20" s="18"/>
      <c r="H20" s="348"/>
      <c r="I20" s="32">
        <v>16.600000000000001</v>
      </c>
      <c r="J20" s="43">
        <v>1800</v>
      </c>
      <c r="K20" s="18">
        <f t="shared" si="1"/>
        <v>108.43373493975902</v>
      </c>
      <c r="L20" s="32">
        <v>16.600000000000001</v>
      </c>
      <c r="M20" s="19">
        <f>AVERAGE(M15:M19)</f>
        <v>1724.8396127423312</v>
      </c>
      <c r="N20" s="18">
        <f t="shared" si="3"/>
        <v>103.90600076761031</v>
      </c>
      <c r="O20" s="20">
        <f t="shared" si="4"/>
        <v>0</v>
      </c>
      <c r="P20" s="21">
        <f t="shared" si="5"/>
        <v>-4.5277341721487119</v>
      </c>
      <c r="Q20" s="344">
        <f t="shared" si="6"/>
        <v>0.95824422930129516</v>
      </c>
      <c r="R20" s="573"/>
      <c r="S20" s="49"/>
      <c r="T20" s="49"/>
      <c r="U20" s="343"/>
      <c r="V20" s="347"/>
      <c r="W20" s="18"/>
      <c r="X20" s="18"/>
      <c r="Y20" s="33">
        <f>SUM(Y15:Y19)</f>
        <v>0</v>
      </c>
      <c r="Z20" s="33">
        <f>SUM(Z15:Z19)</f>
        <v>0</v>
      </c>
      <c r="AA20" s="572"/>
      <c r="AB20" s="572"/>
      <c r="AC20" s="33">
        <v>5</v>
      </c>
      <c r="AD20" s="33">
        <f>SUM(AD15:AD19)</f>
        <v>0</v>
      </c>
      <c r="AE20" s="20">
        <f t="shared" si="8"/>
        <v>-75.160387257668845</v>
      </c>
      <c r="AF20" s="344">
        <f t="shared" si="9"/>
        <v>0.95824422930129505</v>
      </c>
      <c r="AG20" s="573"/>
    </row>
    <row r="21" spans="1:33" ht="15.75" customHeight="1">
      <c r="A21" s="596" t="s">
        <v>2050</v>
      </c>
      <c r="B21" s="39" t="s">
        <v>74</v>
      </c>
      <c r="C21" s="594" t="s">
        <v>84</v>
      </c>
      <c r="D21" s="594"/>
      <c r="E21" s="39">
        <v>54.09</v>
      </c>
      <c r="F21" s="348">
        <v>1894</v>
      </c>
      <c r="G21" s="343">
        <f t="shared" ref="G21:G26" si="19">E21*F21</f>
        <v>102446.46</v>
      </c>
      <c r="H21" s="48" t="s">
        <v>126</v>
      </c>
      <c r="I21" s="346">
        <v>17</v>
      </c>
      <c r="J21" s="43">
        <v>1500</v>
      </c>
      <c r="K21" s="18">
        <f t="shared" si="1"/>
        <v>88.235294117647058</v>
      </c>
      <c r="L21" s="346">
        <v>17</v>
      </c>
      <c r="M21" s="19">
        <f t="shared" ref="M21:M26" si="20">F21/V21*60</f>
        <v>1438.4810126582279</v>
      </c>
      <c r="N21" s="18">
        <f t="shared" si="3"/>
        <v>84.616530156366352</v>
      </c>
      <c r="O21" s="20">
        <f t="shared" si="4"/>
        <v>0</v>
      </c>
      <c r="P21" s="21">
        <f t="shared" si="5"/>
        <v>-3.6187639612807061</v>
      </c>
      <c r="Q21" s="344">
        <f t="shared" si="6"/>
        <v>0.95898734177215195</v>
      </c>
      <c r="R21" s="573">
        <f>Q27</f>
        <v>0.96014375424612108</v>
      </c>
      <c r="S21" s="49">
        <v>0.20833333333333334</v>
      </c>
      <c r="T21" s="49">
        <v>0.26319444444444445</v>
      </c>
      <c r="U21" s="343"/>
      <c r="V21" s="347">
        <f t="shared" ref="V21:V26" si="21">(T21-S21)*24*60</f>
        <v>79</v>
      </c>
      <c r="W21" s="30"/>
      <c r="X21" s="30"/>
      <c r="Y21" s="30"/>
      <c r="Z21" s="30"/>
      <c r="AA21" s="575"/>
      <c r="AB21" s="575"/>
      <c r="AC21" s="50">
        <v>6</v>
      </c>
      <c r="AD21" s="27"/>
      <c r="AE21" s="20">
        <f t="shared" si="8"/>
        <v>-61.518987341772117</v>
      </c>
      <c r="AF21" s="344">
        <f t="shared" si="9"/>
        <v>0.95898734177215195</v>
      </c>
      <c r="AG21" s="573">
        <f>AF27</f>
        <v>0.96014375424612108</v>
      </c>
    </row>
    <row r="22" spans="1:33" ht="15.75" customHeight="1">
      <c r="A22" s="597" t="s">
        <v>2050</v>
      </c>
      <c r="B22" s="39" t="s">
        <v>74</v>
      </c>
      <c r="C22" s="594" t="s">
        <v>89</v>
      </c>
      <c r="D22" s="594"/>
      <c r="E22" s="39">
        <v>50.67</v>
      </c>
      <c r="F22" s="348">
        <v>1931</v>
      </c>
      <c r="G22" s="343">
        <f t="shared" si="19"/>
        <v>97843.77</v>
      </c>
      <c r="H22" s="48" t="s">
        <v>126</v>
      </c>
      <c r="I22" s="346">
        <v>17</v>
      </c>
      <c r="J22" s="43">
        <v>2000</v>
      </c>
      <c r="K22" s="18">
        <f t="shared" si="1"/>
        <v>117.64705882352941</v>
      </c>
      <c r="L22" s="346">
        <v>17</v>
      </c>
      <c r="M22" s="19">
        <f t="shared" si="20"/>
        <v>1930.9999999999989</v>
      </c>
      <c r="N22" s="18">
        <f t="shared" si="3"/>
        <v>113.58823529411758</v>
      </c>
      <c r="O22" s="20">
        <f t="shared" si="4"/>
        <v>0</v>
      </c>
      <c r="P22" s="21">
        <f t="shared" si="5"/>
        <v>-4.0588235294118249</v>
      </c>
      <c r="Q22" s="344">
        <f t="shared" si="6"/>
        <v>0.96549999999999947</v>
      </c>
      <c r="R22" s="573"/>
      <c r="S22" s="49">
        <v>0.26666666666666666</v>
      </c>
      <c r="T22" s="49">
        <v>0.30833333333333335</v>
      </c>
      <c r="U22" s="343">
        <f t="shared" ref="U22:U26" si="22">IF(S22=TIME(17,0,0),"",(S22-T21)*24*60)</f>
        <v>4.9999999999999822</v>
      </c>
      <c r="V22" s="347">
        <f t="shared" si="21"/>
        <v>60.000000000000028</v>
      </c>
      <c r="W22" s="25"/>
      <c r="X22" s="343"/>
      <c r="Y22" s="343"/>
      <c r="Z22" s="343"/>
      <c r="AA22" s="575"/>
      <c r="AB22" s="575"/>
      <c r="AC22" s="50"/>
      <c r="AD22" s="27"/>
      <c r="AE22" s="20">
        <f t="shared" si="8"/>
        <v>-69.000000000001137</v>
      </c>
      <c r="AF22" s="344">
        <f t="shared" si="9"/>
        <v>0.96549999999999947</v>
      </c>
      <c r="AG22" s="573"/>
    </row>
    <row r="23" spans="1:33" ht="15.75" customHeight="1">
      <c r="A23" s="597" t="s">
        <v>2050</v>
      </c>
      <c r="B23" s="39" t="s">
        <v>74</v>
      </c>
      <c r="C23" s="594" t="s">
        <v>90</v>
      </c>
      <c r="D23" s="594"/>
      <c r="E23" s="39">
        <v>57.73</v>
      </c>
      <c r="F23" s="348">
        <v>2241</v>
      </c>
      <c r="G23" s="343">
        <f t="shared" si="19"/>
        <v>129372.93</v>
      </c>
      <c r="H23" s="48" t="s">
        <v>126</v>
      </c>
      <c r="I23" s="346">
        <v>14</v>
      </c>
      <c r="J23" s="43">
        <v>2000</v>
      </c>
      <c r="K23" s="18">
        <f t="shared" si="1"/>
        <v>142.85714285714286</v>
      </c>
      <c r="L23" s="346">
        <v>14</v>
      </c>
      <c r="M23" s="19">
        <f t="shared" si="20"/>
        <v>1920.8571428571431</v>
      </c>
      <c r="N23" s="18">
        <f t="shared" si="3"/>
        <v>137.20408163265307</v>
      </c>
      <c r="O23" s="20">
        <f t="shared" si="4"/>
        <v>0</v>
      </c>
      <c r="P23" s="21">
        <f t="shared" si="5"/>
        <v>-5.6530612244897895</v>
      </c>
      <c r="Q23" s="344">
        <f t="shared" si="6"/>
        <v>0.96042857142857152</v>
      </c>
      <c r="R23" s="573"/>
      <c r="S23" s="49">
        <v>0.31388888888888888</v>
      </c>
      <c r="T23" s="49">
        <v>0.36249999999999999</v>
      </c>
      <c r="U23" s="343">
        <f t="shared" si="22"/>
        <v>7.9999999999999716</v>
      </c>
      <c r="V23" s="347">
        <f t="shared" si="21"/>
        <v>69.999999999999986</v>
      </c>
      <c r="W23" s="25"/>
      <c r="X23" s="343"/>
      <c r="Y23" s="343"/>
      <c r="Z23" s="343"/>
      <c r="AA23" s="575"/>
      <c r="AB23" s="575"/>
      <c r="AC23" s="50"/>
      <c r="AD23" s="27"/>
      <c r="AE23" s="20">
        <f t="shared" si="8"/>
        <v>-79.142857142856883</v>
      </c>
      <c r="AF23" s="344">
        <f t="shared" si="9"/>
        <v>0.96042857142857152</v>
      </c>
      <c r="AG23" s="573"/>
    </row>
    <row r="24" spans="1:33" ht="15.75" customHeight="1">
      <c r="A24" s="597" t="s">
        <v>2050</v>
      </c>
      <c r="B24" s="39" t="s">
        <v>74</v>
      </c>
      <c r="C24" s="594" t="s">
        <v>1232</v>
      </c>
      <c r="D24" s="594"/>
      <c r="E24" s="39">
        <v>53.27</v>
      </c>
      <c r="F24" s="348">
        <v>2011</v>
      </c>
      <c r="G24" s="343">
        <f t="shared" si="19"/>
        <v>107125.97</v>
      </c>
      <c r="H24" s="48" t="s">
        <v>126</v>
      </c>
      <c r="I24" s="346">
        <v>16</v>
      </c>
      <c r="J24" s="43">
        <v>2000</v>
      </c>
      <c r="K24" s="18">
        <f t="shared" si="1"/>
        <v>125</v>
      </c>
      <c r="L24" s="346">
        <v>16</v>
      </c>
      <c r="M24" s="19">
        <f t="shared" si="20"/>
        <v>1915.2380952380947</v>
      </c>
      <c r="N24" s="18">
        <f t="shared" si="3"/>
        <v>119.70238095238092</v>
      </c>
      <c r="O24" s="20">
        <f t="shared" si="4"/>
        <v>0</v>
      </c>
      <c r="P24" s="21">
        <f t="shared" si="5"/>
        <v>-5.2976190476190794</v>
      </c>
      <c r="Q24" s="344">
        <f t="shared" si="6"/>
        <v>0.95761904761904737</v>
      </c>
      <c r="R24" s="573"/>
      <c r="S24" s="49">
        <v>0.36736111111111108</v>
      </c>
      <c r="T24" s="49">
        <v>0.41111111111111109</v>
      </c>
      <c r="U24" s="343">
        <f t="shared" si="22"/>
        <v>6.9999999999999751</v>
      </c>
      <c r="V24" s="347">
        <f t="shared" si="21"/>
        <v>63.000000000000014</v>
      </c>
      <c r="W24" s="25"/>
      <c r="X24" s="343"/>
      <c r="Y24" s="343"/>
      <c r="Z24" s="343"/>
      <c r="AA24" s="575"/>
      <c r="AB24" s="575"/>
      <c r="AC24" s="50"/>
      <c r="AD24" s="27"/>
      <c r="AE24" s="20">
        <f t="shared" si="8"/>
        <v>-84.761904761905271</v>
      </c>
      <c r="AF24" s="344">
        <f t="shared" si="9"/>
        <v>0.95761904761904737</v>
      </c>
      <c r="AG24" s="573"/>
    </row>
    <row r="25" spans="1:33" ht="15.75" customHeight="1">
      <c r="A25" s="597" t="s">
        <v>2050</v>
      </c>
      <c r="B25" s="39" t="s">
        <v>74</v>
      </c>
      <c r="C25" s="594" t="s">
        <v>92</v>
      </c>
      <c r="D25" s="594"/>
      <c r="E25" s="39">
        <v>50.49</v>
      </c>
      <c r="F25" s="348">
        <v>1905</v>
      </c>
      <c r="G25" s="343">
        <f t="shared" si="19"/>
        <v>96183.45</v>
      </c>
      <c r="H25" s="48" t="s">
        <v>126</v>
      </c>
      <c r="I25" s="346">
        <v>15</v>
      </c>
      <c r="J25" s="43">
        <v>2000</v>
      </c>
      <c r="K25" s="18">
        <f t="shared" si="1"/>
        <v>133.33333333333334</v>
      </c>
      <c r="L25" s="346">
        <v>15</v>
      </c>
      <c r="M25" s="19">
        <f t="shared" si="20"/>
        <v>1905.0000000000018</v>
      </c>
      <c r="N25" s="18">
        <f t="shared" si="3"/>
        <v>127.00000000000013</v>
      </c>
      <c r="O25" s="20">
        <f t="shared" si="4"/>
        <v>0</v>
      </c>
      <c r="P25" s="21">
        <f t="shared" si="5"/>
        <v>-6.3333333333332149</v>
      </c>
      <c r="Q25" s="344">
        <f t="shared" si="6"/>
        <v>0.9525000000000009</v>
      </c>
      <c r="R25" s="573"/>
      <c r="S25" s="49">
        <v>0.70833333333333337</v>
      </c>
      <c r="T25" s="49">
        <v>0.75</v>
      </c>
      <c r="U25" s="343" t="str">
        <f t="shared" si="22"/>
        <v/>
      </c>
      <c r="V25" s="347">
        <f t="shared" si="21"/>
        <v>59.999999999999943</v>
      </c>
      <c r="W25" s="25"/>
      <c r="X25" s="25"/>
      <c r="Y25" s="343"/>
      <c r="Z25" s="343"/>
      <c r="AA25" s="575"/>
      <c r="AB25" s="575"/>
      <c r="AC25" s="50"/>
      <c r="AD25" s="27"/>
      <c r="AE25" s="20">
        <f t="shared" si="8"/>
        <v>-94.999999999998181</v>
      </c>
      <c r="AF25" s="344">
        <f t="shared" si="9"/>
        <v>0.9525000000000009</v>
      </c>
      <c r="AG25" s="573"/>
    </row>
    <row r="26" spans="1:33" ht="15.75" customHeight="1">
      <c r="A26" s="597" t="s">
        <v>2050</v>
      </c>
      <c r="B26" s="39" t="s">
        <v>74</v>
      </c>
      <c r="C26" s="594" t="s">
        <v>93</v>
      </c>
      <c r="D26" s="594"/>
      <c r="E26" s="39">
        <v>50.98</v>
      </c>
      <c r="F26" s="348">
        <v>2092</v>
      </c>
      <c r="G26" s="343">
        <f t="shared" si="19"/>
        <v>106650.15999999999</v>
      </c>
      <c r="H26" s="48" t="s">
        <v>126</v>
      </c>
      <c r="I26" s="346">
        <v>16</v>
      </c>
      <c r="J26" s="43">
        <v>2000</v>
      </c>
      <c r="K26" s="18">
        <f t="shared" si="1"/>
        <v>125</v>
      </c>
      <c r="L26" s="346">
        <v>16</v>
      </c>
      <c r="M26" s="19">
        <f t="shared" si="20"/>
        <v>1931.0769230769251</v>
      </c>
      <c r="N26" s="18">
        <f t="shared" si="3"/>
        <v>120.69230769230782</v>
      </c>
      <c r="O26" s="20">
        <f t="shared" si="4"/>
        <v>0</v>
      </c>
      <c r="P26" s="21">
        <f t="shared" si="5"/>
        <v>-4.3076923076921787</v>
      </c>
      <c r="Q26" s="344">
        <f t="shared" si="6"/>
        <v>0.96553846153846257</v>
      </c>
      <c r="R26" s="573"/>
      <c r="S26" s="49">
        <v>0.75486111111111109</v>
      </c>
      <c r="T26" s="49">
        <v>0.79999999999999993</v>
      </c>
      <c r="U26" s="343">
        <f t="shared" si="22"/>
        <v>6.9999999999999751</v>
      </c>
      <c r="V26" s="347">
        <f t="shared" si="21"/>
        <v>64.999999999999929</v>
      </c>
      <c r="W26" s="25"/>
      <c r="X26" s="30"/>
      <c r="Y26" s="30"/>
      <c r="Z26" s="30"/>
      <c r="AA26" s="575"/>
      <c r="AB26" s="575"/>
      <c r="AC26" s="50"/>
      <c r="AD26" s="27"/>
      <c r="AE26" s="20">
        <f t="shared" si="8"/>
        <v>-68.923076923074859</v>
      </c>
      <c r="AF26" s="344">
        <f t="shared" si="9"/>
        <v>0.96553846153846257</v>
      </c>
      <c r="AG26" s="573"/>
    </row>
    <row r="27" spans="1:33" ht="15.75" customHeight="1">
      <c r="A27" s="597" t="s">
        <v>2050</v>
      </c>
      <c r="B27" s="39" t="s">
        <v>2049</v>
      </c>
      <c r="C27" s="576"/>
      <c r="D27" s="576"/>
      <c r="E27" s="345"/>
      <c r="F27" s="348"/>
      <c r="G27" s="343"/>
      <c r="H27" s="348"/>
      <c r="I27" s="32">
        <v>15.833333333333334</v>
      </c>
      <c r="J27" s="43">
        <v>1916.6666666666667</v>
      </c>
      <c r="K27" s="18">
        <f t="shared" si="1"/>
        <v>121.05263157894737</v>
      </c>
      <c r="L27" s="32">
        <v>15.833333333333334</v>
      </c>
      <c r="M27" s="19">
        <f>AVERAGE(M21:M26)</f>
        <v>1840.2755289717322</v>
      </c>
      <c r="N27" s="18">
        <f t="shared" si="3"/>
        <v>116.22792814558308</v>
      </c>
      <c r="O27" s="20">
        <f t="shared" si="4"/>
        <v>0</v>
      </c>
      <c r="P27" s="21">
        <f t="shared" si="5"/>
        <v>-4.8247034333642915</v>
      </c>
      <c r="Q27" s="344">
        <f t="shared" si="6"/>
        <v>0.96014375424612108</v>
      </c>
      <c r="R27" s="573"/>
      <c r="S27" s="49"/>
      <c r="T27" s="49"/>
      <c r="U27" s="18"/>
      <c r="V27" s="347"/>
      <c r="W27" s="18"/>
      <c r="X27" s="18"/>
      <c r="Y27" s="33">
        <f>SUM(Y21:Y26)</f>
        <v>0</v>
      </c>
      <c r="Z27" s="33">
        <f>SUM(Z21:Z26)</f>
        <v>0</v>
      </c>
      <c r="AA27" s="572"/>
      <c r="AB27" s="572"/>
      <c r="AC27" s="33">
        <v>6</v>
      </c>
      <c r="AD27" s="33">
        <f>SUM(AD21:AD26)</f>
        <v>0</v>
      </c>
      <c r="AE27" s="20">
        <f t="shared" si="8"/>
        <v>-76.391137694934514</v>
      </c>
      <c r="AF27" s="344">
        <f t="shared" si="9"/>
        <v>0.96014375424612108</v>
      </c>
      <c r="AG27" s="573"/>
    </row>
    <row r="28" spans="1:33" ht="15.75" customHeight="1">
      <c r="A28" s="595" t="s">
        <v>2051</v>
      </c>
      <c r="B28" s="39" t="s">
        <v>94</v>
      </c>
      <c r="C28" s="594" t="s">
        <v>95</v>
      </c>
      <c r="D28" s="594"/>
      <c r="E28" s="39">
        <v>31.29</v>
      </c>
      <c r="F28" s="348">
        <v>5600</v>
      </c>
      <c r="G28" s="343">
        <f t="shared" ref="G28:G35" si="23">E28*F28</f>
        <v>175224</v>
      </c>
      <c r="H28" s="48">
        <v>2</v>
      </c>
      <c r="I28" s="346">
        <v>18</v>
      </c>
      <c r="J28" s="43">
        <v>2400</v>
      </c>
      <c r="K28" s="18">
        <f t="shared" si="1"/>
        <v>133.33333333333334</v>
      </c>
      <c r="L28" s="346">
        <v>18</v>
      </c>
      <c r="M28" s="19">
        <f t="shared" ref="M28:M35" si="24">F28/V28*60</f>
        <v>2285.7142857142858</v>
      </c>
      <c r="N28" s="18">
        <f t="shared" si="3"/>
        <v>126.98412698412699</v>
      </c>
      <c r="O28" s="20">
        <f t="shared" si="4"/>
        <v>0</v>
      </c>
      <c r="P28" s="21">
        <f t="shared" si="5"/>
        <v>-6.3492063492063551</v>
      </c>
      <c r="Q28" s="344">
        <f t="shared" si="6"/>
        <v>0.95238095238095233</v>
      </c>
      <c r="R28" s="573">
        <f>Q36</f>
        <v>0.95642040669219552</v>
      </c>
      <c r="S28" s="49">
        <v>8.3333333333333329E-2</v>
      </c>
      <c r="T28" s="49">
        <v>0.18541666666666667</v>
      </c>
      <c r="U28" s="343"/>
      <c r="V28" s="347">
        <f t="shared" ref="V28:V35" si="25">(T28-S28)*24*60</f>
        <v>147</v>
      </c>
      <c r="W28" s="25">
        <f>T28</f>
        <v>0.18541666666666667</v>
      </c>
      <c r="X28" s="25">
        <f>S29</f>
        <v>0.20416666666666666</v>
      </c>
      <c r="Y28" s="25"/>
      <c r="Z28" s="25"/>
      <c r="AA28" s="575"/>
      <c r="AB28" s="575"/>
      <c r="AC28" s="50">
        <v>8</v>
      </c>
      <c r="AD28" s="27"/>
      <c r="AE28" s="20">
        <f t="shared" si="8"/>
        <v>-114.28571428571422</v>
      </c>
      <c r="AF28" s="344">
        <f t="shared" si="9"/>
        <v>0.95238095238095244</v>
      </c>
      <c r="AG28" s="573">
        <f>AF36</f>
        <v>0.95642040669219552</v>
      </c>
    </row>
    <row r="29" spans="1:33" ht="15.75" customHeight="1">
      <c r="A29" s="595" t="s">
        <v>2051</v>
      </c>
      <c r="B29" s="39" t="s">
        <v>94</v>
      </c>
      <c r="C29" s="594" t="s">
        <v>97</v>
      </c>
      <c r="D29" s="594"/>
      <c r="E29" s="39">
        <v>26.37</v>
      </c>
      <c r="F29" s="348">
        <v>4000</v>
      </c>
      <c r="G29" s="343">
        <f t="shared" si="23"/>
        <v>105480</v>
      </c>
      <c r="H29" s="48">
        <v>2</v>
      </c>
      <c r="I29" s="346">
        <v>18</v>
      </c>
      <c r="J29" s="43">
        <v>2400</v>
      </c>
      <c r="K29" s="18">
        <f t="shared" si="1"/>
        <v>133.33333333333334</v>
      </c>
      <c r="L29" s="346">
        <v>18</v>
      </c>
      <c r="M29" s="19">
        <f t="shared" si="24"/>
        <v>2285.7142857142853</v>
      </c>
      <c r="N29" s="18">
        <f t="shared" si="3"/>
        <v>126.98412698412696</v>
      </c>
      <c r="O29" s="20">
        <f t="shared" si="4"/>
        <v>0</v>
      </c>
      <c r="P29" s="21">
        <f t="shared" si="5"/>
        <v>-6.3492063492063835</v>
      </c>
      <c r="Q29" s="344">
        <f t="shared" si="6"/>
        <v>0.95238095238095211</v>
      </c>
      <c r="R29" s="573"/>
      <c r="S29" s="49">
        <v>0.20416666666666666</v>
      </c>
      <c r="T29" s="49">
        <v>0.27708333333333335</v>
      </c>
      <c r="U29" s="343">
        <f t="shared" ref="U29:U35" si="26">(S29-T28)*24*60</f>
        <v>26.999999999999986</v>
      </c>
      <c r="V29" s="347">
        <f t="shared" si="25"/>
        <v>105.00000000000003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-114.28571428571468</v>
      </c>
      <c r="AF29" s="344">
        <f t="shared" si="9"/>
        <v>0.95238095238095222</v>
      </c>
      <c r="AG29" s="573"/>
    </row>
    <row r="30" spans="1:33" ht="15.75" customHeight="1">
      <c r="A30" s="595" t="s">
        <v>2051</v>
      </c>
      <c r="B30" s="39" t="s">
        <v>94</v>
      </c>
      <c r="C30" s="594" t="s">
        <v>1231</v>
      </c>
      <c r="D30" s="594"/>
      <c r="E30" s="39">
        <v>25.99</v>
      </c>
      <c r="F30" s="348">
        <v>2898</v>
      </c>
      <c r="G30" s="343">
        <f t="shared" si="23"/>
        <v>75319.01999999999</v>
      </c>
      <c r="H30" s="48" t="s">
        <v>126</v>
      </c>
      <c r="I30" s="346">
        <v>19</v>
      </c>
      <c r="J30" s="43">
        <v>2400</v>
      </c>
      <c r="K30" s="18">
        <f t="shared" si="1"/>
        <v>126.31578947368421</v>
      </c>
      <c r="L30" s="346">
        <v>19</v>
      </c>
      <c r="M30" s="19">
        <f t="shared" si="24"/>
        <v>2287.8947368421059</v>
      </c>
      <c r="N30" s="18">
        <f t="shared" si="3"/>
        <v>120.41551246537399</v>
      </c>
      <c r="O30" s="20">
        <f t="shared" si="4"/>
        <v>0</v>
      </c>
      <c r="P30" s="21">
        <f t="shared" si="5"/>
        <v>-5.9002770083102121</v>
      </c>
      <c r="Q30" s="344">
        <f t="shared" si="6"/>
        <v>0.9532894736842108</v>
      </c>
      <c r="R30" s="573"/>
      <c r="S30" s="49">
        <v>0.28263888888888888</v>
      </c>
      <c r="T30" s="49">
        <v>0.33541666666666664</v>
      </c>
      <c r="U30" s="343">
        <f t="shared" si="26"/>
        <v>7.9999999999999716</v>
      </c>
      <c r="V30" s="347">
        <f t="shared" si="25"/>
        <v>75.999999999999972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-112.10526315789411</v>
      </c>
      <c r="AF30" s="344">
        <f t="shared" si="9"/>
        <v>0.9532894736842108</v>
      </c>
      <c r="AG30" s="573"/>
    </row>
    <row r="31" spans="1:33" ht="15.75" customHeight="1">
      <c r="A31" s="595" t="s">
        <v>2051</v>
      </c>
      <c r="B31" s="39" t="s">
        <v>94</v>
      </c>
      <c r="C31" s="594" t="s">
        <v>529</v>
      </c>
      <c r="D31" s="594"/>
      <c r="E31" s="39">
        <v>26.18</v>
      </c>
      <c r="F31" s="348">
        <v>4600</v>
      </c>
      <c r="G31" s="343">
        <f t="shared" si="23"/>
        <v>120428</v>
      </c>
      <c r="H31" s="48">
        <v>2</v>
      </c>
      <c r="I31" s="346">
        <v>18</v>
      </c>
      <c r="J31" s="43">
        <v>2400</v>
      </c>
      <c r="K31" s="18">
        <f t="shared" si="1"/>
        <v>133.33333333333334</v>
      </c>
      <c r="L31" s="346">
        <v>18</v>
      </c>
      <c r="M31" s="19">
        <f t="shared" si="24"/>
        <v>2300.0000000000005</v>
      </c>
      <c r="N31" s="18">
        <f t="shared" si="3"/>
        <v>127.7777777777778</v>
      </c>
      <c r="O31" s="20">
        <f t="shared" si="4"/>
        <v>0</v>
      </c>
      <c r="P31" s="21">
        <f t="shared" si="5"/>
        <v>-5.5555555555555429</v>
      </c>
      <c r="Q31" s="344">
        <f t="shared" si="6"/>
        <v>0.95833333333333348</v>
      </c>
      <c r="R31" s="573"/>
      <c r="S31" s="49">
        <v>0.34097222222222218</v>
      </c>
      <c r="T31" s="49">
        <v>0.42430555555555549</v>
      </c>
      <c r="U31" s="343">
        <f t="shared" si="26"/>
        <v>7.9999999999999716</v>
      </c>
      <c r="V31" s="347">
        <f t="shared" si="25"/>
        <v>119.99999999999997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-99.999999999999545</v>
      </c>
      <c r="AF31" s="344">
        <f t="shared" si="9"/>
        <v>0.95833333333333348</v>
      </c>
      <c r="AG31" s="573"/>
    </row>
    <row r="32" spans="1:33" ht="15.75" customHeight="1">
      <c r="A32" s="595" t="s">
        <v>2051</v>
      </c>
      <c r="B32" s="39" t="s">
        <v>94</v>
      </c>
      <c r="C32" s="594" t="s">
        <v>98</v>
      </c>
      <c r="D32" s="594"/>
      <c r="E32" s="39">
        <v>25.99</v>
      </c>
      <c r="F32" s="348">
        <v>4278</v>
      </c>
      <c r="G32" s="343">
        <f t="shared" si="23"/>
        <v>111185.21999999999</v>
      </c>
      <c r="H32" s="48" t="s">
        <v>126</v>
      </c>
      <c r="I32" s="346">
        <v>14</v>
      </c>
      <c r="J32" s="43">
        <v>2400</v>
      </c>
      <c r="K32" s="18">
        <f t="shared" si="1"/>
        <v>171.42857142857142</v>
      </c>
      <c r="L32" s="346">
        <v>14</v>
      </c>
      <c r="M32" s="19">
        <f t="shared" si="24"/>
        <v>2291.7857142857124</v>
      </c>
      <c r="N32" s="18">
        <f t="shared" si="3"/>
        <v>163.6989795918366</v>
      </c>
      <c r="O32" s="20">
        <f t="shared" si="4"/>
        <v>0</v>
      </c>
      <c r="P32" s="21">
        <f t="shared" si="5"/>
        <v>-7.7295918367348122</v>
      </c>
      <c r="Q32" s="344">
        <f t="shared" si="6"/>
        <v>0.95491071428571361</v>
      </c>
      <c r="R32" s="573"/>
      <c r="S32" s="49">
        <v>0.4277777777777777</v>
      </c>
      <c r="T32" s="49">
        <v>0.50555555555555554</v>
      </c>
      <c r="U32" s="343">
        <f t="shared" si="26"/>
        <v>4.9999999999999822</v>
      </c>
      <c r="V32" s="347">
        <f t="shared" si="25"/>
        <v>112.00000000000009</v>
      </c>
      <c r="W32" s="25">
        <f>T32</f>
        <v>0.50555555555555554</v>
      </c>
      <c r="X32" s="25">
        <f>S33</f>
        <v>0.54652777777777772</v>
      </c>
      <c r="Y32" s="25"/>
      <c r="Z32" s="25"/>
      <c r="AA32" s="575"/>
      <c r="AB32" s="575"/>
      <c r="AC32" s="50"/>
      <c r="AD32" s="27"/>
      <c r="AE32" s="20">
        <f t="shared" si="8"/>
        <v>-108.2142857142876</v>
      </c>
      <c r="AF32" s="344">
        <f t="shared" si="9"/>
        <v>0.9549107142857135</v>
      </c>
      <c r="AG32" s="573"/>
    </row>
    <row r="33" spans="1:33" ht="15.75" customHeight="1">
      <c r="A33" s="595" t="s">
        <v>2051</v>
      </c>
      <c r="B33" s="39" t="s">
        <v>94</v>
      </c>
      <c r="C33" s="594" t="s">
        <v>95</v>
      </c>
      <c r="D33" s="594"/>
      <c r="E33" s="39">
        <v>31.29</v>
      </c>
      <c r="F33" s="348">
        <v>3864</v>
      </c>
      <c r="G33" s="343">
        <f t="shared" si="23"/>
        <v>120904.56</v>
      </c>
      <c r="H33" s="48" t="s">
        <v>126</v>
      </c>
      <c r="I33" s="346">
        <v>18</v>
      </c>
      <c r="J33" s="43">
        <v>2400</v>
      </c>
      <c r="K33" s="18">
        <f t="shared" si="1"/>
        <v>133.33333333333334</v>
      </c>
      <c r="L33" s="346">
        <v>18</v>
      </c>
      <c r="M33" s="19">
        <f t="shared" si="24"/>
        <v>2295.4455445544563</v>
      </c>
      <c r="N33" s="18">
        <f t="shared" si="3"/>
        <v>127.52475247524757</v>
      </c>
      <c r="O33" s="20">
        <f t="shared" si="4"/>
        <v>0</v>
      </c>
      <c r="P33" s="21">
        <f t="shared" si="5"/>
        <v>-5.8085808580857758</v>
      </c>
      <c r="Q33" s="344">
        <f t="shared" si="6"/>
        <v>0.95643564356435673</v>
      </c>
      <c r="R33" s="573"/>
      <c r="S33" s="49">
        <v>0.54652777777777772</v>
      </c>
      <c r="T33" s="49">
        <v>0.61666666666666659</v>
      </c>
      <c r="U33" s="343">
        <f t="shared" si="26"/>
        <v>58.99999999999995</v>
      </c>
      <c r="V33" s="347">
        <f t="shared" si="25"/>
        <v>100.99999999999996</v>
      </c>
      <c r="W33" s="25"/>
      <c r="X33" s="25"/>
      <c r="Y33" s="25"/>
      <c r="Z33" s="25"/>
      <c r="AA33" s="575"/>
      <c r="AB33" s="575"/>
      <c r="AC33" s="50"/>
      <c r="AD33" s="27"/>
      <c r="AE33" s="20">
        <f t="shared" si="8"/>
        <v>-104.55445544554368</v>
      </c>
      <c r="AF33" s="344">
        <f t="shared" si="9"/>
        <v>0.95643564356435684</v>
      </c>
      <c r="AG33" s="573"/>
    </row>
    <row r="34" spans="1:33" ht="15.75" customHeight="1">
      <c r="A34" s="595" t="s">
        <v>2051</v>
      </c>
      <c r="B34" s="39" t="s">
        <v>94</v>
      </c>
      <c r="C34" s="594" t="s">
        <v>529</v>
      </c>
      <c r="D34" s="594"/>
      <c r="E34" s="39">
        <v>26.18</v>
      </c>
      <c r="F34" s="348">
        <v>3343</v>
      </c>
      <c r="G34" s="343">
        <f t="shared" si="23"/>
        <v>87519.74</v>
      </c>
      <c r="H34" s="48" t="s">
        <v>126</v>
      </c>
      <c r="I34" s="346">
        <v>18</v>
      </c>
      <c r="J34" s="43">
        <v>2400</v>
      </c>
      <c r="K34" s="18">
        <f t="shared" si="1"/>
        <v>133.33333333333334</v>
      </c>
      <c r="L34" s="346">
        <v>18</v>
      </c>
      <c r="M34" s="19">
        <f t="shared" si="24"/>
        <v>2305.5172413793098</v>
      </c>
      <c r="N34" s="18">
        <f t="shared" si="3"/>
        <v>128.08429118773944</v>
      </c>
      <c r="O34" s="20">
        <f t="shared" si="4"/>
        <v>0</v>
      </c>
      <c r="P34" s="21">
        <f t="shared" si="5"/>
        <v>-5.2490421455939043</v>
      </c>
      <c r="Q34" s="344">
        <f t="shared" si="6"/>
        <v>0.96063218390804572</v>
      </c>
      <c r="R34" s="573"/>
      <c r="S34" s="49">
        <v>0.62152777777777768</v>
      </c>
      <c r="T34" s="49">
        <v>0.68194444444444435</v>
      </c>
      <c r="U34" s="343">
        <f t="shared" si="26"/>
        <v>6.9999999999999751</v>
      </c>
      <c r="V34" s="347">
        <f t="shared" si="25"/>
        <v>87.000000000000014</v>
      </c>
      <c r="W34" s="25"/>
      <c r="X34" s="25"/>
      <c r="Y34" s="25"/>
      <c r="Z34" s="25"/>
      <c r="AA34" s="575"/>
      <c r="AB34" s="575"/>
      <c r="AC34" s="50"/>
      <c r="AD34" s="27"/>
      <c r="AE34" s="20">
        <f t="shared" si="8"/>
        <v>-94.48275862069022</v>
      </c>
      <c r="AF34" s="344">
        <f t="shared" si="9"/>
        <v>0.96063218390804572</v>
      </c>
      <c r="AG34" s="573"/>
    </row>
    <row r="35" spans="1:33" ht="15.75" customHeight="1">
      <c r="A35" s="595" t="s">
        <v>2051</v>
      </c>
      <c r="B35" s="39" t="s">
        <v>94</v>
      </c>
      <c r="C35" s="350" t="s">
        <v>97</v>
      </c>
      <c r="D35" s="351"/>
      <c r="E35" s="39">
        <v>26.37</v>
      </c>
      <c r="F35" s="348">
        <v>2889</v>
      </c>
      <c r="G35" s="343">
        <f t="shared" si="23"/>
        <v>76182.930000000008</v>
      </c>
      <c r="H35" s="48" t="s">
        <v>126</v>
      </c>
      <c r="I35" s="346">
        <v>18</v>
      </c>
      <c r="J35" s="43">
        <v>2400</v>
      </c>
      <c r="K35" s="18">
        <f t="shared" si="1"/>
        <v>133.33333333333334</v>
      </c>
      <c r="L35" s="346">
        <v>18</v>
      </c>
      <c r="M35" s="19">
        <f t="shared" si="24"/>
        <v>2311.199999999998</v>
      </c>
      <c r="N35" s="18">
        <f t="shared" si="3"/>
        <v>128.39999999999989</v>
      </c>
      <c r="O35" s="20">
        <f t="shared" si="4"/>
        <v>0</v>
      </c>
      <c r="P35" s="21">
        <f t="shared" si="5"/>
        <v>-4.9333333333334508</v>
      </c>
      <c r="Q35" s="344">
        <f t="shared" si="6"/>
        <v>0.96299999999999908</v>
      </c>
      <c r="R35" s="573"/>
      <c r="S35" s="49">
        <v>0.68611111111111101</v>
      </c>
      <c r="T35" s="49">
        <v>0.73819444444444438</v>
      </c>
      <c r="U35" s="343">
        <f t="shared" si="26"/>
        <v>5.9999999999999787</v>
      </c>
      <c r="V35" s="347">
        <f t="shared" si="25"/>
        <v>75.000000000000057</v>
      </c>
      <c r="W35" s="25"/>
      <c r="X35" s="25"/>
      <c r="Y35" s="25"/>
      <c r="Z35" s="25"/>
      <c r="AA35" s="339"/>
      <c r="AB35" s="340"/>
      <c r="AC35" s="50"/>
      <c r="AD35" s="27"/>
      <c r="AE35" s="20">
        <f t="shared" si="8"/>
        <v>-88.800000000002001</v>
      </c>
      <c r="AF35" s="344">
        <f t="shared" si="9"/>
        <v>0.96299999999999919</v>
      </c>
      <c r="AG35" s="573"/>
    </row>
    <row r="36" spans="1:33" ht="15.75" customHeight="1">
      <c r="A36" s="595" t="s">
        <v>2051</v>
      </c>
      <c r="B36" s="39" t="s">
        <v>2049</v>
      </c>
      <c r="C36" s="576"/>
      <c r="D36" s="576"/>
      <c r="E36" s="345"/>
      <c r="F36" s="348"/>
      <c r="G36" s="343"/>
      <c r="H36" s="348"/>
      <c r="I36" s="32">
        <v>17.625</v>
      </c>
      <c r="J36" s="43">
        <v>2400</v>
      </c>
      <c r="K36" s="18">
        <f t="shared" si="1"/>
        <v>136.17021276595744</v>
      </c>
      <c r="L36" s="32">
        <v>17.625</v>
      </c>
      <c r="M36" s="19">
        <f>AVERAGE(M28:M35)</f>
        <v>2295.4089760612692</v>
      </c>
      <c r="N36" s="18">
        <f t="shared" si="3"/>
        <v>130.23597027297981</v>
      </c>
      <c r="O36" s="20">
        <f t="shared" si="4"/>
        <v>0</v>
      </c>
      <c r="P36" s="21">
        <f t="shared" si="5"/>
        <v>-5.9342424929776314</v>
      </c>
      <c r="Q36" s="344">
        <f t="shared" si="6"/>
        <v>0.95642040669219552</v>
      </c>
      <c r="R36" s="573"/>
      <c r="S36" s="49"/>
      <c r="T36" s="49"/>
      <c r="U36" s="343"/>
      <c r="V36" s="347"/>
      <c r="W36" s="343"/>
      <c r="X36" s="343"/>
      <c r="Y36" s="33">
        <f>SUM(Y28:Y35)</f>
        <v>0</v>
      </c>
      <c r="Z36" s="33">
        <f>SUM(Z28:Z35)</f>
        <v>0</v>
      </c>
      <c r="AA36" s="572"/>
      <c r="AB36" s="572"/>
      <c r="AC36" s="33">
        <v>8</v>
      </c>
      <c r="AD36" s="33">
        <f>SUM(AD28:AD35)</f>
        <v>0</v>
      </c>
      <c r="AE36" s="20">
        <f t="shared" si="8"/>
        <v>-104.59102393873081</v>
      </c>
      <c r="AF36" s="344">
        <f t="shared" si="9"/>
        <v>0.95642040669219552</v>
      </c>
      <c r="AG36" s="573"/>
    </row>
    <row r="37" spans="1:33" ht="15.75" customHeight="1">
      <c r="A37" s="592" t="s">
        <v>2052</v>
      </c>
      <c r="B37" s="39" t="s">
        <v>94</v>
      </c>
      <c r="C37" s="574" t="s">
        <v>530</v>
      </c>
      <c r="D37" s="574"/>
      <c r="E37" s="39">
        <v>26.18</v>
      </c>
      <c r="F37" s="348">
        <v>4200</v>
      </c>
      <c r="G37" s="343">
        <f t="shared" ref="G37:G44" si="27">E37*F37</f>
        <v>109956</v>
      </c>
      <c r="H37" s="48">
        <v>2</v>
      </c>
      <c r="I37" s="346">
        <v>20</v>
      </c>
      <c r="J37" s="43">
        <v>2400</v>
      </c>
      <c r="K37" s="18">
        <f t="shared" si="1"/>
        <v>120</v>
      </c>
      <c r="L37" s="346">
        <v>20</v>
      </c>
      <c r="M37" s="19">
        <f t="shared" ref="M37:M44" si="28">F37/V37*60</f>
        <v>2290.909090909091</v>
      </c>
      <c r="N37" s="18">
        <f t="shared" si="3"/>
        <v>114.54545454545455</v>
      </c>
      <c r="O37" s="20">
        <f t="shared" si="4"/>
        <v>0</v>
      </c>
      <c r="P37" s="21">
        <f t="shared" si="5"/>
        <v>-5.4545454545454533</v>
      </c>
      <c r="Q37" s="344">
        <f t="shared" si="6"/>
        <v>0.95454545454545459</v>
      </c>
      <c r="R37" s="573">
        <f>Q45</f>
        <v>0.95448550508939145</v>
      </c>
      <c r="S37" s="49">
        <v>8.3333333333333329E-2</v>
      </c>
      <c r="T37" s="49">
        <v>0.15972222222222221</v>
      </c>
      <c r="U37" s="343"/>
      <c r="V37" s="347">
        <f t="shared" ref="V37:V44" si="29">(T37-S37)*24*60</f>
        <v>109.99999999999999</v>
      </c>
      <c r="W37" s="30">
        <f>T37</f>
        <v>0.15972222222222221</v>
      </c>
      <c r="X37" s="30">
        <f>S38</f>
        <v>0.17777777777777776</v>
      </c>
      <c r="Y37" s="30"/>
      <c r="Z37" s="30"/>
      <c r="AA37" s="575"/>
      <c r="AB37" s="575"/>
      <c r="AC37" s="50">
        <v>8</v>
      </c>
      <c r="AD37" s="27"/>
      <c r="AE37" s="20">
        <f t="shared" si="8"/>
        <v>-109.09090909090901</v>
      </c>
      <c r="AF37" s="344">
        <f t="shared" si="9"/>
        <v>0.95454545454545459</v>
      </c>
      <c r="AG37" s="573">
        <f>AF45</f>
        <v>0.95448550508939145</v>
      </c>
    </row>
    <row r="38" spans="1:33" ht="15.75" customHeight="1">
      <c r="A38" s="592" t="s">
        <v>2052</v>
      </c>
      <c r="B38" s="39" t="s">
        <v>94</v>
      </c>
      <c r="C38" s="574" t="s">
        <v>100</v>
      </c>
      <c r="D38" s="574"/>
      <c r="E38" s="39">
        <v>24.43</v>
      </c>
      <c r="F38" s="348">
        <v>4000</v>
      </c>
      <c r="G38" s="343">
        <f t="shared" si="27"/>
        <v>97720</v>
      </c>
      <c r="H38" s="48">
        <v>2</v>
      </c>
      <c r="I38" s="346">
        <v>14</v>
      </c>
      <c r="J38" s="43">
        <v>2400</v>
      </c>
      <c r="K38" s="18">
        <f t="shared" si="1"/>
        <v>171.42857142857142</v>
      </c>
      <c r="L38" s="346">
        <v>14</v>
      </c>
      <c r="M38" s="19">
        <f t="shared" si="28"/>
        <v>2285.7142857142853</v>
      </c>
      <c r="N38" s="18">
        <f t="shared" si="3"/>
        <v>163.26530612244895</v>
      </c>
      <c r="O38" s="20">
        <f t="shared" si="4"/>
        <v>0</v>
      </c>
      <c r="P38" s="21">
        <f t="shared" si="5"/>
        <v>-8.1632653061224687</v>
      </c>
      <c r="Q38" s="344">
        <f t="shared" si="6"/>
        <v>0.95238095238095222</v>
      </c>
      <c r="R38" s="573"/>
      <c r="S38" s="49">
        <v>0.17777777777777776</v>
      </c>
      <c r="T38" s="49">
        <v>0.25069444444444444</v>
      </c>
      <c r="U38" s="343">
        <f t="shared" ref="U38:U44" si="30">(S38-T37)*24*60</f>
        <v>25.999999999999986</v>
      </c>
      <c r="V38" s="347">
        <f t="shared" si="29"/>
        <v>105.00000000000003</v>
      </c>
      <c r="W38" s="343"/>
      <c r="X38" s="343"/>
      <c r="Y38" s="343"/>
      <c r="Z38" s="343"/>
      <c r="AA38" s="575"/>
      <c r="AB38" s="575"/>
      <c r="AC38" s="50"/>
      <c r="AD38" s="27"/>
      <c r="AE38" s="20">
        <f t="shared" si="8"/>
        <v>-114.28571428571468</v>
      </c>
      <c r="AF38" s="344">
        <f t="shared" si="9"/>
        <v>0.95238095238095222</v>
      </c>
      <c r="AG38" s="573"/>
    </row>
    <row r="39" spans="1:33">
      <c r="A39" s="593" t="s">
        <v>2052</v>
      </c>
      <c r="B39" s="39" t="s">
        <v>94</v>
      </c>
      <c r="C39" s="574" t="s">
        <v>102</v>
      </c>
      <c r="D39" s="574"/>
      <c r="E39" s="39">
        <v>34.1</v>
      </c>
      <c r="F39" s="348">
        <v>3800</v>
      </c>
      <c r="G39" s="343">
        <f t="shared" si="27"/>
        <v>129580</v>
      </c>
      <c r="H39" s="48">
        <v>2</v>
      </c>
      <c r="I39" s="346">
        <v>17</v>
      </c>
      <c r="J39" s="43">
        <v>1600</v>
      </c>
      <c r="K39" s="18">
        <f t="shared" si="1"/>
        <v>94.117647058823536</v>
      </c>
      <c r="L39" s="346">
        <v>17</v>
      </c>
      <c r="M39" s="19">
        <f t="shared" si="28"/>
        <v>1519.9999999999998</v>
      </c>
      <c r="N39" s="18">
        <f t="shared" si="3"/>
        <v>89.411764705882334</v>
      </c>
      <c r="O39" s="20">
        <f t="shared" si="4"/>
        <v>0</v>
      </c>
      <c r="P39" s="21">
        <f t="shared" si="5"/>
        <v>-4.7058823529412024</v>
      </c>
      <c r="Q39" s="344">
        <f t="shared" si="6"/>
        <v>0.94999999999999973</v>
      </c>
      <c r="R39" s="573"/>
      <c r="S39" s="49">
        <v>0.25555555555555554</v>
      </c>
      <c r="T39" s="49">
        <v>0.35972222222222222</v>
      </c>
      <c r="U39" s="343">
        <f t="shared" si="30"/>
        <v>6.9999999999999751</v>
      </c>
      <c r="V39" s="347">
        <f t="shared" si="29"/>
        <v>150.00000000000003</v>
      </c>
      <c r="W39" s="343"/>
      <c r="X39" s="343"/>
      <c r="Y39" s="343"/>
      <c r="Z39" s="343"/>
      <c r="AA39" s="575"/>
      <c r="AB39" s="575"/>
      <c r="AC39" s="50"/>
      <c r="AD39" s="27"/>
      <c r="AE39" s="20">
        <f t="shared" si="8"/>
        <v>-80.000000000000227</v>
      </c>
      <c r="AF39" s="344">
        <f t="shared" si="9"/>
        <v>0.94999999999999984</v>
      </c>
      <c r="AG39" s="573"/>
    </row>
    <row r="40" spans="1:33">
      <c r="A40" s="593" t="s">
        <v>2052</v>
      </c>
      <c r="B40" s="39" t="s">
        <v>94</v>
      </c>
      <c r="C40" s="574" t="s">
        <v>101</v>
      </c>
      <c r="D40" s="574"/>
      <c r="E40" s="39">
        <v>25.98</v>
      </c>
      <c r="F40" s="348">
        <v>3264</v>
      </c>
      <c r="G40" s="343">
        <f t="shared" si="27"/>
        <v>84798.720000000001</v>
      </c>
      <c r="H40" s="48" t="s">
        <v>126</v>
      </c>
      <c r="I40" s="346">
        <v>19</v>
      </c>
      <c r="J40" s="43">
        <v>2400</v>
      </c>
      <c r="K40" s="18">
        <f t="shared" si="1"/>
        <v>126.31578947368421</v>
      </c>
      <c r="L40" s="346">
        <v>19</v>
      </c>
      <c r="M40" s="19">
        <f t="shared" si="28"/>
        <v>2303.9999999999995</v>
      </c>
      <c r="N40" s="18">
        <f t="shared" si="3"/>
        <v>121.26315789473682</v>
      </c>
      <c r="O40" s="20">
        <f t="shared" si="4"/>
        <v>0</v>
      </c>
      <c r="P40" s="21">
        <f t="shared" si="5"/>
        <v>-5.0526315789473841</v>
      </c>
      <c r="Q40" s="344">
        <f t="shared" si="6"/>
        <v>0.95999999999999985</v>
      </c>
      <c r="R40" s="573"/>
      <c r="S40" s="49">
        <v>0.36319444444444443</v>
      </c>
      <c r="T40" s="49">
        <v>0.42222222222222222</v>
      </c>
      <c r="U40" s="343">
        <f t="shared" si="30"/>
        <v>4.9999999999999822</v>
      </c>
      <c r="V40" s="347">
        <f t="shared" si="29"/>
        <v>85.000000000000014</v>
      </c>
      <c r="W40" s="25"/>
      <c r="X40" s="25"/>
      <c r="Y40" s="25"/>
      <c r="Z40" s="25"/>
      <c r="AA40" s="575"/>
      <c r="AB40" s="575"/>
      <c r="AC40" s="50"/>
      <c r="AD40" s="27"/>
      <c r="AE40" s="20">
        <f t="shared" si="8"/>
        <v>-96.000000000000455</v>
      </c>
      <c r="AF40" s="344">
        <f t="shared" si="9"/>
        <v>0.95999999999999985</v>
      </c>
      <c r="AG40" s="573"/>
    </row>
    <row r="41" spans="1:33">
      <c r="A41" s="593" t="s">
        <v>2052</v>
      </c>
      <c r="B41" s="39" t="s">
        <v>94</v>
      </c>
      <c r="C41" s="574" t="s">
        <v>103</v>
      </c>
      <c r="D41" s="574"/>
      <c r="E41" s="39">
        <v>20.2</v>
      </c>
      <c r="F41" s="348">
        <v>2179</v>
      </c>
      <c r="G41" s="343">
        <f t="shared" si="27"/>
        <v>44015.799999999996</v>
      </c>
      <c r="H41" s="48" t="s">
        <v>126</v>
      </c>
      <c r="I41" s="346">
        <v>15</v>
      </c>
      <c r="J41" s="43">
        <v>2400</v>
      </c>
      <c r="K41" s="18">
        <f t="shared" si="1"/>
        <v>160</v>
      </c>
      <c r="L41" s="346">
        <v>15</v>
      </c>
      <c r="M41" s="19">
        <f t="shared" si="28"/>
        <v>2293.6842105263145</v>
      </c>
      <c r="N41" s="18">
        <f t="shared" si="3"/>
        <v>152.9122807017543</v>
      </c>
      <c r="O41" s="20">
        <f t="shared" si="4"/>
        <v>0</v>
      </c>
      <c r="P41" s="21">
        <f t="shared" si="5"/>
        <v>-7.0877192982457018</v>
      </c>
      <c r="Q41" s="344">
        <f t="shared" si="6"/>
        <v>0.95570175438596439</v>
      </c>
      <c r="R41" s="573"/>
      <c r="S41" s="49">
        <v>0.42569444444444443</v>
      </c>
      <c r="T41" s="49">
        <v>0.46527777777777779</v>
      </c>
      <c r="U41" s="343">
        <f t="shared" si="30"/>
        <v>4.9999999999999822</v>
      </c>
      <c r="V41" s="347">
        <f t="shared" si="29"/>
        <v>57.000000000000036</v>
      </c>
      <c r="W41" s="25">
        <f>T41</f>
        <v>0.46527777777777779</v>
      </c>
      <c r="X41" s="25">
        <f>S42</f>
        <v>0.50624999999999998</v>
      </c>
      <c r="Y41" s="25"/>
      <c r="Z41" s="25"/>
      <c r="AA41" s="575"/>
      <c r="AB41" s="575"/>
      <c r="AC41" s="50"/>
      <c r="AD41" s="27"/>
      <c r="AE41" s="20">
        <f t="shared" si="8"/>
        <v>-106.31578947368553</v>
      </c>
      <c r="AF41" s="344">
        <f t="shared" si="9"/>
        <v>0.95570175438596439</v>
      </c>
      <c r="AG41" s="573"/>
    </row>
    <row r="42" spans="1:33">
      <c r="A42" s="593" t="s">
        <v>2052</v>
      </c>
      <c r="B42" s="39" t="s">
        <v>94</v>
      </c>
      <c r="C42" s="574" t="s">
        <v>102</v>
      </c>
      <c r="D42" s="574"/>
      <c r="E42" s="39">
        <v>34.1</v>
      </c>
      <c r="F42" s="348">
        <v>2973</v>
      </c>
      <c r="G42" s="343">
        <f t="shared" si="27"/>
        <v>101379.3</v>
      </c>
      <c r="H42" s="48" t="s">
        <v>126</v>
      </c>
      <c r="I42" s="346">
        <v>17</v>
      </c>
      <c r="J42" s="43">
        <v>1600</v>
      </c>
      <c r="K42" s="18">
        <f t="shared" si="1"/>
        <v>94.117647058823536</v>
      </c>
      <c r="L42" s="346">
        <v>17</v>
      </c>
      <c r="M42" s="19">
        <f t="shared" si="28"/>
        <v>1524.6153846153838</v>
      </c>
      <c r="N42" s="18">
        <f t="shared" si="3"/>
        <v>89.683257918551988</v>
      </c>
      <c r="O42" s="20">
        <f t="shared" si="4"/>
        <v>0</v>
      </c>
      <c r="P42" s="21">
        <f t="shared" si="5"/>
        <v>-4.4343891402715485</v>
      </c>
      <c r="Q42" s="344">
        <f t="shared" si="6"/>
        <v>0.95288461538461477</v>
      </c>
      <c r="R42" s="573"/>
      <c r="S42" s="49">
        <v>0.50624999999999998</v>
      </c>
      <c r="T42" s="49">
        <v>0.58750000000000002</v>
      </c>
      <c r="U42" s="343">
        <f t="shared" si="30"/>
        <v>58.99999999999995</v>
      </c>
      <c r="V42" s="347">
        <f t="shared" si="29"/>
        <v>117.00000000000006</v>
      </c>
      <c r="W42" s="25"/>
      <c r="X42" s="25"/>
      <c r="Y42" s="25"/>
      <c r="Z42" s="25"/>
      <c r="AA42" s="575"/>
      <c r="AB42" s="575"/>
      <c r="AC42" s="50"/>
      <c r="AD42" s="27"/>
      <c r="AE42" s="20">
        <f t="shared" si="8"/>
        <v>-75.384615384616154</v>
      </c>
      <c r="AF42" s="344">
        <f t="shared" si="9"/>
        <v>0.95288461538461489</v>
      </c>
      <c r="AG42" s="573"/>
    </row>
    <row r="43" spans="1:33">
      <c r="A43" s="593" t="s">
        <v>2052</v>
      </c>
      <c r="B43" s="39" t="s">
        <v>94</v>
      </c>
      <c r="C43" s="574" t="s">
        <v>530</v>
      </c>
      <c r="D43" s="574"/>
      <c r="E43" s="39">
        <v>26.18</v>
      </c>
      <c r="F43" s="348">
        <v>2874</v>
      </c>
      <c r="G43" s="343">
        <f t="shared" si="27"/>
        <v>75241.319999999992</v>
      </c>
      <c r="H43" s="48" t="s">
        <v>126</v>
      </c>
      <c r="I43" s="346">
        <v>20</v>
      </c>
      <c r="J43" s="43">
        <v>2400</v>
      </c>
      <c r="K43" s="18">
        <f t="shared" si="1"/>
        <v>120</v>
      </c>
      <c r="L43" s="346">
        <v>20</v>
      </c>
      <c r="M43" s="19">
        <f t="shared" si="28"/>
        <v>2299.1999999999985</v>
      </c>
      <c r="N43" s="18">
        <f t="shared" si="3"/>
        <v>114.95999999999992</v>
      </c>
      <c r="O43" s="20">
        <f t="shared" si="4"/>
        <v>0</v>
      </c>
      <c r="P43" s="21">
        <f t="shared" si="5"/>
        <v>-5.0400000000000773</v>
      </c>
      <c r="Q43" s="344">
        <f t="shared" si="6"/>
        <v>0.95799999999999941</v>
      </c>
      <c r="R43" s="573"/>
      <c r="S43" s="49">
        <v>0.59305555555555556</v>
      </c>
      <c r="T43" s="49">
        <v>0.64513888888888893</v>
      </c>
      <c r="U43" s="343">
        <f t="shared" si="30"/>
        <v>7.9999999999999716</v>
      </c>
      <c r="V43" s="347">
        <f t="shared" si="29"/>
        <v>75.000000000000057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-100.80000000000155</v>
      </c>
      <c r="AF43" s="344">
        <f t="shared" si="9"/>
        <v>0.95799999999999941</v>
      </c>
      <c r="AG43" s="573"/>
    </row>
    <row r="44" spans="1:33">
      <c r="A44" s="593" t="s">
        <v>2052</v>
      </c>
      <c r="B44" s="39" t="s">
        <v>94</v>
      </c>
      <c r="C44" s="574" t="s">
        <v>100</v>
      </c>
      <c r="D44" s="574"/>
      <c r="E44" s="39">
        <v>24.43</v>
      </c>
      <c r="F44" s="348">
        <v>2775</v>
      </c>
      <c r="G44" s="343">
        <f t="shared" si="27"/>
        <v>67793.25</v>
      </c>
      <c r="H44" s="48" t="s">
        <v>126</v>
      </c>
      <c r="I44" s="346">
        <v>14</v>
      </c>
      <c r="J44" s="43">
        <v>2400</v>
      </c>
      <c r="K44" s="18">
        <f t="shared" si="1"/>
        <v>171.42857142857142</v>
      </c>
      <c r="L44" s="346">
        <v>14</v>
      </c>
      <c r="M44" s="19">
        <f t="shared" si="28"/>
        <v>2280.8219178082172</v>
      </c>
      <c r="N44" s="18">
        <f t="shared" si="3"/>
        <v>162.91585127201552</v>
      </c>
      <c r="O44" s="20">
        <f t="shared" si="4"/>
        <v>0</v>
      </c>
      <c r="P44" s="21">
        <f t="shared" si="5"/>
        <v>-8.5127201565559005</v>
      </c>
      <c r="Q44" s="344">
        <f t="shared" si="6"/>
        <v>0.95034246575342396</v>
      </c>
      <c r="R44" s="573"/>
      <c r="S44" s="49">
        <v>0.65</v>
      </c>
      <c r="T44" s="49">
        <v>0.70069444444444451</v>
      </c>
      <c r="U44" s="343">
        <f t="shared" si="30"/>
        <v>6.9999999999999751</v>
      </c>
      <c r="V44" s="347">
        <f t="shared" si="29"/>
        <v>73.000000000000057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-119.17808219178278</v>
      </c>
      <c r="AF44" s="344">
        <f t="shared" si="9"/>
        <v>0.95034246575342385</v>
      </c>
      <c r="AG44" s="573"/>
    </row>
    <row r="45" spans="1:33">
      <c r="A45" s="593" t="s">
        <v>2052</v>
      </c>
      <c r="B45" s="42" t="s">
        <v>2049</v>
      </c>
      <c r="C45" s="576"/>
      <c r="D45" s="576"/>
      <c r="E45" s="345"/>
      <c r="F45" s="42"/>
      <c r="G45" s="18"/>
      <c r="H45" s="348"/>
      <c r="I45" s="32">
        <v>17</v>
      </c>
      <c r="J45" s="43">
        <v>2200</v>
      </c>
      <c r="K45" s="18">
        <f t="shared" si="1"/>
        <v>129.41176470588235</v>
      </c>
      <c r="L45" s="32">
        <v>17</v>
      </c>
      <c r="M45" s="19">
        <f>AVERAGE(M37:M44)</f>
        <v>2099.8681111966612</v>
      </c>
      <c r="N45" s="18">
        <f t="shared" si="3"/>
        <v>123.5216535998036</v>
      </c>
      <c r="O45" s="20">
        <f t="shared" si="4"/>
        <v>0</v>
      </c>
      <c r="P45" s="21">
        <f t="shared" si="5"/>
        <v>-5.8901111060787485</v>
      </c>
      <c r="Q45" s="344">
        <f t="shared" si="6"/>
        <v>0.95448550508939145</v>
      </c>
      <c r="R45" s="573"/>
      <c r="S45" s="49"/>
      <c r="T45" s="49"/>
      <c r="U45" s="18"/>
      <c r="V45" s="347"/>
      <c r="W45" s="18"/>
      <c r="X45" s="18"/>
      <c r="Y45" s="33">
        <f>SUM(Y37:Y44)</f>
        <v>0</v>
      </c>
      <c r="Z45" s="33">
        <f>SUM(Z37:Z44)</f>
        <v>0</v>
      </c>
      <c r="AA45" s="572"/>
      <c r="AB45" s="572"/>
      <c r="AC45" s="33">
        <v>8</v>
      </c>
      <c r="AD45" s="33">
        <f>SUM(AD37:AD44)</f>
        <v>0</v>
      </c>
      <c r="AE45" s="20">
        <f t="shared" si="8"/>
        <v>-100.13188880333882</v>
      </c>
      <c r="AF45" s="344">
        <f t="shared" si="9"/>
        <v>0.95448550508939145</v>
      </c>
      <c r="AG45" s="573"/>
    </row>
    <row r="46" spans="1:33" ht="15.75" customHeight="1">
      <c r="A46" s="589" t="s">
        <v>2053</v>
      </c>
      <c r="B46" s="39" t="s">
        <v>104</v>
      </c>
      <c r="C46" s="566" t="s">
        <v>105</v>
      </c>
      <c r="D46" s="567"/>
      <c r="E46" s="39">
        <v>37.880000000000003</v>
      </c>
      <c r="F46" s="348">
        <v>2317</v>
      </c>
      <c r="G46" s="343">
        <f t="shared" ref="G46:G49" si="31">E46*F46</f>
        <v>87767.96</v>
      </c>
      <c r="H46" s="48" t="s">
        <v>126</v>
      </c>
      <c r="I46" s="346">
        <v>13</v>
      </c>
      <c r="J46" s="43">
        <v>2000</v>
      </c>
      <c r="K46" s="18">
        <f t="shared" si="1"/>
        <v>153.84615384615384</v>
      </c>
      <c r="L46" s="346">
        <v>13</v>
      </c>
      <c r="M46" s="19">
        <f t="shared" ref="M46:M49" si="32">F46/V46*60</f>
        <v>1904.3835616438357</v>
      </c>
      <c r="N46" s="19">
        <f t="shared" si="3"/>
        <v>146.49104320337199</v>
      </c>
      <c r="O46" s="20">
        <f t="shared" si="4"/>
        <v>0</v>
      </c>
      <c r="P46" s="21">
        <f t="shared" si="5"/>
        <v>-7.3551106427818524</v>
      </c>
      <c r="Q46" s="344">
        <f t="shared" si="6"/>
        <v>0.95219178082191791</v>
      </c>
      <c r="R46" s="584">
        <f>Q50</f>
        <v>0.95382528982893433</v>
      </c>
      <c r="S46" s="49">
        <v>8.3333333333333329E-2</v>
      </c>
      <c r="T46" s="49">
        <v>0.13402777777777777</v>
      </c>
      <c r="U46" s="30"/>
      <c r="V46" s="347">
        <f t="shared" ref="V46:V49" si="33">(T46-S46)*24*60</f>
        <v>73</v>
      </c>
      <c r="W46" s="25">
        <f>T46</f>
        <v>0.13402777777777777</v>
      </c>
      <c r="X46" s="25">
        <f>S47</f>
        <v>0.15416666666666667</v>
      </c>
      <c r="Y46" s="28"/>
      <c r="Z46" s="28"/>
      <c r="AA46" s="568"/>
      <c r="AB46" s="569"/>
      <c r="AC46" s="50">
        <v>4</v>
      </c>
      <c r="AD46" s="27"/>
      <c r="AE46" s="20">
        <f t="shared" si="8"/>
        <v>-95.616438356164281</v>
      </c>
      <c r="AF46" s="344">
        <f t="shared" si="9"/>
        <v>0.95219178082191791</v>
      </c>
      <c r="AG46" s="584">
        <f>AF50</f>
        <v>0.95382528982893444</v>
      </c>
    </row>
    <row r="47" spans="1:33" ht="15.75" customHeight="1">
      <c r="A47" s="590" t="s">
        <v>2053</v>
      </c>
      <c r="B47" s="39" t="s">
        <v>104</v>
      </c>
      <c r="C47" s="566" t="s">
        <v>106</v>
      </c>
      <c r="D47" s="567"/>
      <c r="E47" s="39">
        <v>35.119999999999997</v>
      </c>
      <c r="F47" s="348">
        <v>5195</v>
      </c>
      <c r="G47" s="343">
        <f t="shared" si="31"/>
        <v>182448.4</v>
      </c>
      <c r="H47" s="48" t="s">
        <v>126</v>
      </c>
      <c r="I47" s="346">
        <v>10</v>
      </c>
      <c r="J47" s="43">
        <v>3000</v>
      </c>
      <c r="K47" s="18">
        <f t="shared" si="1"/>
        <v>300</v>
      </c>
      <c r="L47" s="346">
        <v>10</v>
      </c>
      <c r="M47" s="19">
        <f t="shared" si="32"/>
        <v>2859.6330275229357</v>
      </c>
      <c r="N47" s="19">
        <f t="shared" si="3"/>
        <v>285.96330275229354</v>
      </c>
      <c r="O47" s="20">
        <f t="shared" si="4"/>
        <v>0</v>
      </c>
      <c r="P47" s="21">
        <f t="shared" si="5"/>
        <v>-14.036697247706456</v>
      </c>
      <c r="Q47" s="344">
        <f t="shared" si="6"/>
        <v>0.95321100917431179</v>
      </c>
      <c r="R47" s="585"/>
      <c r="S47" s="49">
        <v>0.15416666666666667</v>
      </c>
      <c r="T47" s="49">
        <v>0.22986111111111113</v>
      </c>
      <c r="U47" s="343">
        <f t="shared" ref="U47:U49" si="34">(S47-T46)*24*60</f>
        <v>29.000000000000018</v>
      </c>
      <c r="V47" s="347">
        <f t="shared" si="33"/>
        <v>109.00000000000001</v>
      </c>
      <c r="W47" s="25"/>
      <c r="X47" s="25"/>
      <c r="Y47" s="28"/>
      <c r="Z47" s="28"/>
      <c r="AA47" s="568"/>
      <c r="AB47" s="569"/>
      <c r="AC47" s="50"/>
      <c r="AD47" s="27"/>
      <c r="AE47" s="20">
        <f t="shared" si="8"/>
        <v>-140.36697247706434</v>
      </c>
      <c r="AF47" s="344">
        <f t="shared" si="9"/>
        <v>0.9532110091743119</v>
      </c>
      <c r="AG47" s="585"/>
    </row>
    <row r="48" spans="1:33" ht="15.75" customHeight="1">
      <c r="A48" s="590" t="s">
        <v>2053</v>
      </c>
      <c r="B48" s="39" t="s">
        <v>104</v>
      </c>
      <c r="C48" s="566" t="s">
        <v>107</v>
      </c>
      <c r="D48" s="567"/>
      <c r="E48" s="39">
        <v>21.13</v>
      </c>
      <c r="F48" s="348">
        <v>5195</v>
      </c>
      <c r="G48" s="343">
        <f t="shared" si="31"/>
        <v>109770.34999999999</v>
      </c>
      <c r="H48" s="48" t="s">
        <v>126</v>
      </c>
      <c r="I48" s="346">
        <v>10</v>
      </c>
      <c r="J48" s="43">
        <v>3000</v>
      </c>
      <c r="K48" s="18">
        <f t="shared" si="1"/>
        <v>300</v>
      </c>
      <c r="L48" s="346">
        <v>10</v>
      </c>
      <c r="M48" s="19">
        <f t="shared" si="32"/>
        <v>2859.6330275229366</v>
      </c>
      <c r="N48" s="19">
        <f t="shared" si="3"/>
        <v>285.96330275229366</v>
      </c>
      <c r="O48" s="20">
        <f t="shared" si="4"/>
        <v>0</v>
      </c>
      <c r="P48" s="21">
        <f t="shared" si="5"/>
        <v>-14.036697247706343</v>
      </c>
      <c r="Q48" s="344">
        <f t="shared" si="6"/>
        <v>0.95321100917431223</v>
      </c>
      <c r="R48" s="585"/>
      <c r="S48" s="49">
        <v>0.23472222222222225</v>
      </c>
      <c r="T48" s="49">
        <v>0.31041666666666667</v>
      </c>
      <c r="U48" s="343">
        <f t="shared" si="34"/>
        <v>7.0000000000000151</v>
      </c>
      <c r="V48" s="347">
        <f t="shared" si="33"/>
        <v>108.99999999999997</v>
      </c>
      <c r="W48" s="25"/>
      <c r="X48" s="25"/>
      <c r="Y48" s="28"/>
      <c r="Z48" s="28"/>
      <c r="AA48" s="568"/>
      <c r="AB48" s="569"/>
      <c r="AC48" s="50"/>
      <c r="AD48" s="27"/>
      <c r="AE48" s="20">
        <f t="shared" si="8"/>
        <v>-140.36697247706343</v>
      </c>
      <c r="AF48" s="344">
        <f t="shared" si="9"/>
        <v>0.95321100917431223</v>
      </c>
      <c r="AG48" s="585"/>
    </row>
    <row r="49" spans="1:33" ht="15.75" customHeight="1">
      <c r="A49" s="590" t="s">
        <v>2053</v>
      </c>
      <c r="B49" s="39" t="s">
        <v>104</v>
      </c>
      <c r="C49" s="566" t="s">
        <v>108</v>
      </c>
      <c r="D49" s="567"/>
      <c r="E49" s="39">
        <v>27.17</v>
      </c>
      <c r="F49" s="348">
        <v>6693</v>
      </c>
      <c r="G49" s="343">
        <f t="shared" si="31"/>
        <v>181848.81</v>
      </c>
      <c r="H49" s="48" t="s">
        <v>126</v>
      </c>
      <c r="I49" s="346">
        <v>10</v>
      </c>
      <c r="J49" s="43">
        <v>3000</v>
      </c>
      <c r="K49" s="18">
        <f t="shared" si="1"/>
        <v>300</v>
      </c>
      <c r="L49" s="346">
        <v>10</v>
      </c>
      <c r="M49" s="19">
        <f t="shared" si="32"/>
        <v>2868.428571428572</v>
      </c>
      <c r="N49" s="19">
        <f t="shared" si="3"/>
        <v>286.84285714285721</v>
      </c>
      <c r="O49" s="20">
        <f t="shared" si="4"/>
        <v>0</v>
      </c>
      <c r="P49" s="21">
        <f t="shared" si="5"/>
        <v>-13.157142857142787</v>
      </c>
      <c r="Q49" s="344">
        <f t="shared" si="6"/>
        <v>0.95614285714285741</v>
      </c>
      <c r="R49" s="585"/>
      <c r="S49" s="49">
        <v>0.31527777777777777</v>
      </c>
      <c r="T49" s="49">
        <v>0.41249999999999998</v>
      </c>
      <c r="U49" s="343">
        <f t="shared" si="34"/>
        <v>6.9999999999999751</v>
      </c>
      <c r="V49" s="347">
        <f t="shared" si="33"/>
        <v>139.99999999999997</v>
      </c>
      <c r="W49" s="25"/>
      <c r="X49" s="25"/>
      <c r="Y49" s="28"/>
      <c r="Z49" s="28"/>
      <c r="AA49" s="568"/>
      <c r="AB49" s="569"/>
      <c r="AC49" s="50"/>
      <c r="AD49" s="27"/>
      <c r="AE49" s="20">
        <f t="shared" si="8"/>
        <v>-131.57142857142799</v>
      </c>
      <c r="AF49" s="344">
        <f t="shared" si="9"/>
        <v>0.95614285714285729</v>
      </c>
      <c r="AG49" s="585"/>
    </row>
    <row r="50" spans="1:33" ht="15.75" customHeight="1">
      <c r="A50" s="591" t="s">
        <v>2053</v>
      </c>
      <c r="B50" s="39" t="s">
        <v>2049</v>
      </c>
      <c r="C50" s="570"/>
      <c r="D50" s="571"/>
      <c r="E50" s="341"/>
      <c r="F50" s="348"/>
      <c r="G50" s="343"/>
      <c r="H50" s="348"/>
      <c r="I50" s="32">
        <v>10.75</v>
      </c>
      <c r="J50" s="43">
        <v>2750</v>
      </c>
      <c r="K50" s="18">
        <f t="shared" si="1"/>
        <v>255.81395348837211</v>
      </c>
      <c r="L50" s="32">
        <v>10.75</v>
      </c>
      <c r="M50" s="19">
        <f>AVERAGE(M46:M49)</f>
        <v>2623.0195470295698</v>
      </c>
      <c r="N50" s="18">
        <f t="shared" si="3"/>
        <v>244.00181832833206</v>
      </c>
      <c r="O50" s="20">
        <f t="shared" si="4"/>
        <v>0</v>
      </c>
      <c r="P50" s="21">
        <f t="shared" si="5"/>
        <v>-11.812135160040043</v>
      </c>
      <c r="Q50" s="344">
        <f t="shared" si="6"/>
        <v>0.95382528982893433</v>
      </c>
      <c r="R50" s="586"/>
      <c r="S50" s="49"/>
      <c r="T50" s="49"/>
      <c r="U50" s="343"/>
      <c r="V50" s="347"/>
      <c r="W50" s="25"/>
      <c r="X50" s="25"/>
      <c r="Y50" s="33">
        <f>SUM(Y46:Y49)</f>
        <v>0</v>
      </c>
      <c r="Z50" s="33">
        <f>SUM(Z46:Z49)</f>
        <v>0</v>
      </c>
      <c r="AA50" s="587"/>
      <c r="AB50" s="588"/>
      <c r="AC50" s="33">
        <v>4</v>
      </c>
      <c r="AD50" s="33">
        <f>SUM(AD46:AD49)</f>
        <v>0</v>
      </c>
      <c r="AE50" s="20">
        <f t="shared" si="8"/>
        <v>-126.98045297043018</v>
      </c>
      <c r="AF50" s="344">
        <f t="shared" si="9"/>
        <v>0.95382528982893444</v>
      </c>
      <c r="AG50" s="586"/>
    </row>
    <row r="51" spans="1:33" ht="15.75" customHeight="1">
      <c r="A51" s="582" t="s">
        <v>2054</v>
      </c>
      <c r="B51" s="39" t="s">
        <v>79</v>
      </c>
      <c r="C51" s="574" t="s">
        <v>109</v>
      </c>
      <c r="D51" s="574"/>
      <c r="E51" s="39">
        <v>46</v>
      </c>
      <c r="F51" s="45">
        <v>2056</v>
      </c>
      <c r="G51" s="343">
        <f t="shared" ref="G51:G57" si="35">E51*F51</f>
        <v>94576</v>
      </c>
      <c r="H51" s="48" t="s">
        <v>126</v>
      </c>
      <c r="I51" s="346">
        <v>16</v>
      </c>
      <c r="J51" s="43">
        <v>2000</v>
      </c>
      <c r="K51" s="18">
        <f t="shared" si="1"/>
        <v>125</v>
      </c>
      <c r="L51" s="346">
        <v>16</v>
      </c>
      <c r="M51" s="19">
        <f t="shared" ref="M51" si="36">F51/V51*60</f>
        <v>1927.5000000000009</v>
      </c>
      <c r="N51" s="19">
        <f t="shared" si="3"/>
        <v>120.46875000000006</v>
      </c>
      <c r="O51" s="20">
        <f t="shared" si="4"/>
        <v>0</v>
      </c>
      <c r="P51" s="21">
        <f t="shared" si="5"/>
        <v>-4.5312499999999432</v>
      </c>
      <c r="Q51" s="344">
        <f t="shared" si="6"/>
        <v>0.96375000000000044</v>
      </c>
      <c r="R51" s="573">
        <f>Q58</f>
        <v>0.96081295642611264</v>
      </c>
      <c r="S51" s="49">
        <v>0.20833333333333334</v>
      </c>
      <c r="T51" s="49">
        <v>0.25277777777777777</v>
      </c>
      <c r="U51" s="30"/>
      <c r="V51" s="347">
        <f t="shared" ref="V51:V57" si="37">(T51-S51)*24*60</f>
        <v>63.999999999999972</v>
      </c>
      <c r="W51" s="30"/>
      <c r="X51" s="30"/>
      <c r="Y51" s="30"/>
      <c r="Z51" s="30"/>
      <c r="AA51" s="575"/>
      <c r="AB51" s="575"/>
      <c r="AC51" s="50">
        <v>7</v>
      </c>
      <c r="AD51" s="27"/>
      <c r="AE51" s="20">
        <f t="shared" si="8"/>
        <v>-72.499999999999091</v>
      </c>
      <c r="AF51" s="344">
        <f t="shared" si="9"/>
        <v>0.96375000000000044</v>
      </c>
      <c r="AG51" s="573">
        <f>AF58</f>
        <v>0.96081295642611264</v>
      </c>
    </row>
    <row r="52" spans="1:33" ht="15.75" customHeight="1">
      <c r="A52" s="582" t="s">
        <v>2054</v>
      </c>
      <c r="B52" s="39" t="s">
        <v>79</v>
      </c>
      <c r="C52" s="574" t="s">
        <v>1233</v>
      </c>
      <c r="D52" s="574"/>
      <c r="E52" s="39">
        <v>46</v>
      </c>
      <c r="F52" s="45">
        <v>2887</v>
      </c>
      <c r="G52" s="343">
        <f t="shared" si="35"/>
        <v>132802</v>
      </c>
      <c r="H52" s="48" t="s">
        <v>126</v>
      </c>
      <c r="I52" s="346">
        <v>16</v>
      </c>
      <c r="J52" s="43">
        <v>2000</v>
      </c>
      <c r="K52" s="18">
        <f t="shared" si="1"/>
        <v>125</v>
      </c>
      <c r="L52" s="346">
        <v>16</v>
      </c>
      <c r="M52" s="19">
        <f>F52/V52*60</f>
        <v>1903.5164835164835</v>
      </c>
      <c r="N52" s="19">
        <f t="shared" si="3"/>
        <v>118.96978021978022</v>
      </c>
      <c r="O52" s="20">
        <f t="shared" si="4"/>
        <v>0</v>
      </c>
      <c r="P52" s="21">
        <f t="shared" si="5"/>
        <v>-6.030219780219781</v>
      </c>
      <c r="Q52" s="344">
        <f t="shared" si="6"/>
        <v>0.95175824175824175</v>
      </c>
      <c r="R52" s="573"/>
      <c r="S52" s="49">
        <v>0.25763888888888886</v>
      </c>
      <c r="T52" s="49">
        <v>0.3208333333333333</v>
      </c>
      <c r="U52" s="343">
        <f t="shared" ref="U52:U57" si="38">IF(S52=TIME(17,0,0),"",(S52-T51)*24*60)</f>
        <v>6.9999999999999751</v>
      </c>
      <c r="V52" s="347">
        <f t="shared" si="37"/>
        <v>91</v>
      </c>
      <c r="W52" s="25"/>
      <c r="X52" s="25"/>
      <c r="Y52" s="25"/>
      <c r="Z52" s="25"/>
      <c r="AA52" s="575"/>
      <c r="AB52" s="575"/>
      <c r="AC52" s="50"/>
      <c r="AD52" s="27"/>
      <c r="AE52" s="20">
        <f t="shared" si="8"/>
        <v>-96.483516483516496</v>
      </c>
      <c r="AF52" s="344">
        <f t="shared" si="9"/>
        <v>0.95175824175824175</v>
      </c>
      <c r="AG52" s="573"/>
    </row>
    <row r="53" spans="1:33" ht="15.75" customHeight="1">
      <c r="A53" s="582" t="s">
        <v>2054</v>
      </c>
      <c r="B53" s="39" t="s">
        <v>74</v>
      </c>
      <c r="C53" s="566" t="s">
        <v>111</v>
      </c>
      <c r="D53" s="567"/>
      <c r="E53" s="39">
        <v>51.75</v>
      </c>
      <c r="F53" s="45">
        <v>817</v>
      </c>
      <c r="G53" s="343">
        <f t="shared" si="35"/>
        <v>42279.75</v>
      </c>
      <c r="H53" s="48" t="s">
        <v>126</v>
      </c>
      <c r="I53" s="346">
        <v>25</v>
      </c>
      <c r="J53" s="43">
        <v>2000</v>
      </c>
      <c r="K53" s="18">
        <f t="shared" si="1"/>
        <v>80</v>
      </c>
      <c r="L53" s="346">
        <v>25</v>
      </c>
      <c r="M53" s="19">
        <f t="shared" ref="M53:M57" si="39">F53/V53*60</f>
        <v>1960.8000000000004</v>
      </c>
      <c r="N53" s="19">
        <f t="shared" si="3"/>
        <v>78.432000000000016</v>
      </c>
      <c r="O53" s="20">
        <f t="shared" si="4"/>
        <v>0</v>
      </c>
      <c r="P53" s="21">
        <f t="shared" si="5"/>
        <v>-1.5679999999999836</v>
      </c>
      <c r="Q53" s="344">
        <f t="shared" si="6"/>
        <v>0.98040000000000016</v>
      </c>
      <c r="R53" s="573"/>
      <c r="S53" s="49">
        <v>0.32430555555555551</v>
      </c>
      <c r="T53" s="49">
        <v>0.34166666666666662</v>
      </c>
      <c r="U53" s="343">
        <f t="shared" si="38"/>
        <v>4.9999999999999822</v>
      </c>
      <c r="V53" s="347">
        <f t="shared" si="37"/>
        <v>24.999999999999993</v>
      </c>
      <c r="W53" s="25"/>
      <c r="X53" s="25"/>
      <c r="Y53" s="28"/>
      <c r="Z53" s="28"/>
      <c r="AA53" s="575"/>
      <c r="AB53" s="575"/>
      <c r="AC53" s="50"/>
      <c r="AD53" s="27"/>
      <c r="AE53" s="20">
        <f t="shared" si="8"/>
        <v>-39.199999999999591</v>
      </c>
      <c r="AF53" s="344">
        <f t="shared" si="9"/>
        <v>0.98040000000000016</v>
      </c>
      <c r="AG53" s="573"/>
    </row>
    <row r="54" spans="1:33" ht="15.75" customHeight="1">
      <c r="A54" s="582" t="s">
        <v>2054</v>
      </c>
      <c r="B54" s="39" t="s">
        <v>74</v>
      </c>
      <c r="C54" s="337" t="s">
        <v>110</v>
      </c>
      <c r="D54" s="338"/>
      <c r="E54" s="39">
        <v>56.43</v>
      </c>
      <c r="F54" s="45">
        <v>1439</v>
      </c>
      <c r="G54" s="343">
        <f t="shared" si="35"/>
        <v>81202.77</v>
      </c>
      <c r="H54" s="48" t="s">
        <v>126</v>
      </c>
      <c r="I54" s="346">
        <v>22</v>
      </c>
      <c r="J54" s="43">
        <v>2000</v>
      </c>
      <c r="K54" s="18">
        <f t="shared" si="1"/>
        <v>90.909090909090907</v>
      </c>
      <c r="L54" s="346">
        <v>22</v>
      </c>
      <c r="M54" s="19">
        <f t="shared" si="39"/>
        <v>1918.6666666666667</v>
      </c>
      <c r="N54" s="19">
        <f t="shared" si="3"/>
        <v>87.212121212121218</v>
      </c>
      <c r="O54" s="20">
        <f t="shared" si="4"/>
        <v>0</v>
      </c>
      <c r="P54" s="21">
        <f t="shared" si="5"/>
        <v>-3.6969696969696884</v>
      </c>
      <c r="Q54" s="344">
        <f t="shared" si="6"/>
        <v>0.95933333333333348</v>
      </c>
      <c r="R54" s="573"/>
      <c r="S54" s="49">
        <v>0.34513888888888883</v>
      </c>
      <c r="T54" s="49">
        <v>0.37638888888888883</v>
      </c>
      <c r="U54" s="343">
        <f t="shared" si="38"/>
        <v>4.9999999999999822</v>
      </c>
      <c r="V54" s="347">
        <f t="shared" si="37"/>
        <v>45</v>
      </c>
      <c r="W54" s="25"/>
      <c r="X54" s="25"/>
      <c r="Y54" s="28"/>
      <c r="Z54" s="28"/>
      <c r="AA54" s="575"/>
      <c r="AB54" s="575"/>
      <c r="AC54" s="50"/>
      <c r="AD54" s="27"/>
      <c r="AE54" s="20">
        <f t="shared" si="8"/>
        <v>-81.333333333333258</v>
      </c>
      <c r="AF54" s="344">
        <f t="shared" si="9"/>
        <v>0.95933333333333337</v>
      </c>
      <c r="AG54" s="573"/>
    </row>
    <row r="55" spans="1:33" ht="15.75" customHeight="1">
      <c r="A55" s="582" t="s">
        <v>2054</v>
      </c>
      <c r="B55" s="39" t="s">
        <v>74</v>
      </c>
      <c r="C55" s="337" t="s">
        <v>88</v>
      </c>
      <c r="D55" s="338"/>
      <c r="E55" s="39">
        <v>59.04</v>
      </c>
      <c r="F55" s="45">
        <v>4029</v>
      </c>
      <c r="G55" s="343">
        <f t="shared" si="35"/>
        <v>237872.16</v>
      </c>
      <c r="H55" s="48" t="s">
        <v>126</v>
      </c>
      <c r="I55" s="346">
        <v>19</v>
      </c>
      <c r="J55" s="43">
        <v>2000</v>
      </c>
      <c r="K55" s="18">
        <f t="shared" si="1"/>
        <v>105.26315789473684</v>
      </c>
      <c r="L55" s="346">
        <v>19</v>
      </c>
      <c r="M55" s="19">
        <f t="shared" si="39"/>
        <v>1918.571428571428</v>
      </c>
      <c r="N55" s="19">
        <f t="shared" si="3"/>
        <v>100.97744360902253</v>
      </c>
      <c r="O55" s="20">
        <f t="shared" si="4"/>
        <v>0</v>
      </c>
      <c r="P55" s="21">
        <f t="shared" si="5"/>
        <v>-4.285714285714306</v>
      </c>
      <c r="Q55" s="344">
        <f t="shared" si="6"/>
        <v>0.95928571428571408</v>
      </c>
      <c r="R55" s="573"/>
      <c r="S55" s="49">
        <v>0.38194444444444436</v>
      </c>
      <c r="T55" s="49">
        <v>0.46944444444444439</v>
      </c>
      <c r="U55" s="343">
        <f t="shared" si="38"/>
        <v>7.9999999999999716</v>
      </c>
      <c r="V55" s="347">
        <f t="shared" si="37"/>
        <v>126.00000000000003</v>
      </c>
      <c r="W55" s="25"/>
      <c r="X55" s="25"/>
      <c r="Y55" s="28"/>
      <c r="Z55" s="28"/>
      <c r="AA55" s="575"/>
      <c r="AB55" s="575"/>
      <c r="AC55" s="50"/>
      <c r="AD55" s="27"/>
      <c r="AE55" s="20">
        <f t="shared" si="8"/>
        <v>-81.428571428572013</v>
      </c>
      <c r="AF55" s="344">
        <f t="shared" si="9"/>
        <v>0.95928571428571396</v>
      </c>
      <c r="AG55" s="573"/>
    </row>
    <row r="56" spans="1:33" ht="15.75" customHeight="1">
      <c r="A56" s="582" t="s">
        <v>2054</v>
      </c>
      <c r="B56" s="39" t="s">
        <v>74</v>
      </c>
      <c r="C56" s="566" t="s">
        <v>113</v>
      </c>
      <c r="D56" s="567"/>
      <c r="E56" s="39">
        <v>55.56</v>
      </c>
      <c r="F56" s="45">
        <v>1936</v>
      </c>
      <c r="G56" s="343">
        <f t="shared" si="35"/>
        <v>107564.16</v>
      </c>
      <c r="H56" s="48" t="s">
        <v>126</v>
      </c>
      <c r="I56" s="346">
        <v>17</v>
      </c>
      <c r="J56" s="43">
        <v>2000</v>
      </c>
      <c r="K56" s="18">
        <f t="shared" si="1"/>
        <v>117.64705882352941</v>
      </c>
      <c r="L56" s="346">
        <v>17</v>
      </c>
      <c r="M56" s="19">
        <f t="shared" si="39"/>
        <v>1904.2622950819689</v>
      </c>
      <c r="N56" s="19">
        <f t="shared" si="3"/>
        <v>112.01542912246876</v>
      </c>
      <c r="O56" s="20">
        <f t="shared" si="4"/>
        <v>0</v>
      </c>
      <c r="P56" s="21">
        <f t="shared" si="5"/>
        <v>-5.6316297010606462</v>
      </c>
      <c r="Q56" s="344">
        <f t="shared" si="6"/>
        <v>0.95213114754098449</v>
      </c>
      <c r="R56" s="573"/>
      <c r="S56" s="49">
        <v>0.70833333333333337</v>
      </c>
      <c r="T56" s="49">
        <v>0.75069444444444444</v>
      </c>
      <c r="U56" s="343" t="str">
        <f t="shared" si="38"/>
        <v/>
      </c>
      <c r="V56" s="347">
        <f t="shared" si="37"/>
        <v>60.999999999999943</v>
      </c>
      <c r="W56" s="25"/>
      <c r="X56" s="25"/>
      <c r="Y56" s="28"/>
      <c r="Z56" s="28"/>
      <c r="AA56" s="568"/>
      <c r="AB56" s="569"/>
      <c r="AC56" s="50"/>
      <c r="AD56" s="27"/>
      <c r="AE56" s="20">
        <f t="shared" si="8"/>
        <v>-95.737704918031113</v>
      </c>
      <c r="AF56" s="344">
        <f t="shared" si="9"/>
        <v>0.95213114754098449</v>
      </c>
      <c r="AG56" s="573"/>
    </row>
    <row r="57" spans="1:33" ht="15.75" customHeight="1">
      <c r="A57" s="582" t="s">
        <v>2054</v>
      </c>
      <c r="B57" s="39" t="s">
        <v>74</v>
      </c>
      <c r="C57" s="566" t="s">
        <v>114</v>
      </c>
      <c r="D57" s="567"/>
      <c r="E57" s="39">
        <v>54.29</v>
      </c>
      <c r="F57" s="45">
        <v>991</v>
      </c>
      <c r="G57" s="343">
        <f t="shared" si="35"/>
        <v>53801.39</v>
      </c>
      <c r="H57" s="48" t="s">
        <v>126</v>
      </c>
      <c r="I57" s="346">
        <v>20</v>
      </c>
      <c r="J57" s="43">
        <v>2000</v>
      </c>
      <c r="K57" s="18">
        <f t="shared" si="1"/>
        <v>100</v>
      </c>
      <c r="L57" s="346">
        <v>20</v>
      </c>
      <c r="M57" s="19">
        <f t="shared" si="39"/>
        <v>1918.064516129029</v>
      </c>
      <c r="N57" s="19">
        <f t="shared" si="3"/>
        <v>95.903225806451445</v>
      </c>
      <c r="O57" s="20">
        <f t="shared" si="4"/>
        <v>0</v>
      </c>
      <c r="P57" s="21">
        <f t="shared" si="5"/>
        <v>-4.0967741935485549</v>
      </c>
      <c r="Q57" s="344">
        <f t="shared" si="6"/>
        <v>0.95903225806451442</v>
      </c>
      <c r="R57" s="573"/>
      <c r="S57" s="49">
        <v>0.75486111111111109</v>
      </c>
      <c r="T57" s="49">
        <v>0.77638888888888891</v>
      </c>
      <c r="U57" s="343">
        <f t="shared" si="38"/>
        <v>5.9999999999999787</v>
      </c>
      <c r="V57" s="347">
        <f t="shared" si="37"/>
        <v>31.00000000000005</v>
      </c>
      <c r="W57" s="25"/>
      <c r="X57" s="25"/>
      <c r="Y57" s="28"/>
      <c r="Z57" s="28"/>
      <c r="AA57" s="568"/>
      <c r="AB57" s="569"/>
      <c r="AC57" s="50"/>
      <c r="AD57" s="27"/>
      <c r="AE57" s="20">
        <f t="shared" si="8"/>
        <v>-81.935483870970984</v>
      </c>
      <c r="AF57" s="344">
        <f t="shared" si="9"/>
        <v>0.95903225806451453</v>
      </c>
      <c r="AG57" s="573"/>
    </row>
    <row r="58" spans="1:33">
      <c r="A58" s="583" t="s">
        <v>2054</v>
      </c>
      <c r="B58" s="39" t="s">
        <v>2049</v>
      </c>
      <c r="C58" s="576"/>
      <c r="D58" s="576"/>
      <c r="E58" s="345"/>
      <c r="F58" s="42"/>
      <c r="G58" s="18"/>
      <c r="H58" s="348"/>
      <c r="I58" s="32">
        <v>19.285714285714285</v>
      </c>
      <c r="J58" s="43">
        <v>2000</v>
      </c>
      <c r="K58" s="18">
        <f t="shared" si="1"/>
        <v>103.70370370370371</v>
      </c>
      <c r="L58" s="32">
        <v>19.285714285714285</v>
      </c>
      <c r="M58" s="19">
        <f>AVERAGE(M51:M57)</f>
        <v>1921.6259128522254</v>
      </c>
      <c r="N58" s="18">
        <f t="shared" si="3"/>
        <v>99.639862147893169</v>
      </c>
      <c r="O58" s="20">
        <f t="shared" si="4"/>
        <v>0</v>
      </c>
      <c r="P58" s="21">
        <f t="shared" si="5"/>
        <v>-4.0638415558105407</v>
      </c>
      <c r="Q58" s="344">
        <f t="shared" si="6"/>
        <v>0.96081295642611264</v>
      </c>
      <c r="R58" s="573"/>
      <c r="S58" s="49"/>
      <c r="T58" s="49"/>
      <c r="U58" s="343"/>
      <c r="V58" s="347"/>
      <c r="W58" s="18"/>
      <c r="X58" s="18"/>
      <c r="Y58" s="33">
        <f>SUM(Y51:Y57)</f>
        <v>0</v>
      </c>
      <c r="Z58" s="33">
        <f>SUM(Z51:Z57)</f>
        <v>0</v>
      </c>
      <c r="AA58" s="572"/>
      <c r="AB58" s="572"/>
      <c r="AC58" s="33">
        <v>7</v>
      </c>
      <c r="AD58" s="33">
        <f>SUM(AD51:AD57)</f>
        <v>0</v>
      </c>
      <c r="AE58" s="20">
        <f>M58-J58</f>
        <v>-78.374087147774617</v>
      </c>
      <c r="AF58" s="344">
        <f t="shared" si="9"/>
        <v>0.96081295642611264</v>
      </c>
      <c r="AG58" s="573"/>
    </row>
    <row r="59" spans="1:33" ht="15.75" customHeight="1">
      <c r="A59" s="580" t="s">
        <v>2055</v>
      </c>
      <c r="B59" s="348" t="s">
        <v>104</v>
      </c>
      <c r="C59" s="574" t="s">
        <v>115</v>
      </c>
      <c r="D59" s="574"/>
      <c r="E59" s="39">
        <v>34.36</v>
      </c>
      <c r="F59" s="45">
        <v>2253</v>
      </c>
      <c r="G59" s="343">
        <f t="shared" ref="G59:G63" si="40">E59*F59</f>
        <v>77413.08</v>
      </c>
      <c r="H59" s="48" t="s">
        <v>126</v>
      </c>
      <c r="I59" s="346">
        <v>10</v>
      </c>
      <c r="J59" s="43">
        <v>3000</v>
      </c>
      <c r="K59" s="18">
        <f t="shared" si="1"/>
        <v>300</v>
      </c>
      <c r="L59" s="346">
        <v>10</v>
      </c>
      <c r="M59" s="19">
        <f t="shared" ref="M59:M63" si="41">F59/V59*60</f>
        <v>2876.1702127659578</v>
      </c>
      <c r="N59" s="18">
        <f t="shared" si="3"/>
        <v>287.61702127659578</v>
      </c>
      <c r="O59" s="20">
        <f t="shared" si="4"/>
        <v>0</v>
      </c>
      <c r="P59" s="21">
        <f t="shared" si="5"/>
        <v>-12.382978723404221</v>
      </c>
      <c r="Q59" s="344">
        <f t="shared" si="6"/>
        <v>0.95872340425531921</v>
      </c>
      <c r="R59" s="573">
        <f>Q64</f>
        <v>0.95979266271047448</v>
      </c>
      <c r="S59" s="49">
        <v>0.20833333333333334</v>
      </c>
      <c r="T59" s="49">
        <v>0.24097222222222223</v>
      </c>
      <c r="U59" s="343"/>
      <c r="V59" s="347">
        <f t="shared" ref="V59:V63" si="42">(T59-S59)*24*60</f>
        <v>46.999999999999993</v>
      </c>
      <c r="W59" s="30"/>
      <c r="X59" s="30"/>
      <c r="Y59" s="30"/>
      <c r="Z59" s="30"/>
      <c r="AA59" s="575"/>
      <c r="AB59" s="575"/>
      <c r="AC59" s="50">
        <v>5</v>
      </c>
      <c r="AD59" s="27"/>
      <c r="AE59" s="20">
        <f t="shared" ref="AE59:AE73" si="43">M59-J59</f>
        <v>-123.82978723404221</v>
      </c>
      <c r="AF59" s="344">
        <f t="shared" si="9"/>
        <v>0.95872340425531921</v>
      </c>
      <c r="AG59" s="573">
        <f>AF64</f>
        <v>0.95979266271047448</v>
      </c>
    </row>
    <row r="60" spans="1:33" ht="15.75" customHeight="1">
      <c r="A60" s="580" t="s">
        <v>2055</v>
      </c>
      <c r="B60" s="348" t="s">
        <v>104</v>
      </c>
      <c r="C60" s="574" t="s">
        <v>116</v>
      </c>
      <c r="D60" s="574"/>
      <c r="E60" s="39">
        <v>34.36</v>
      </c>
      <c r="F60" s="45">
        <v>1196</v>
      </c>
      <c r="G60" s="343">
        <f t="shared" si="40"/>
        <v>41094.559999999998</v>
      </c>
      <c r="H60" s="48" t="s">
        <v>126</v>
      </c>
      <c r="I60" s="346">
        <v>10</v>
      </c>
      <c r="J60" s="43">
        <v>3000</v>
      </c>
      <c r="K60" s="18">
        <f t="shared" si="1"/>
        <v>300</v>
      </c>
      <c r="L60" s="346">
        <v>10</v>
      </c>
      <c r="M60" s="19">
        <f t="shared" si="41"/>
        <v>2870.4000000000005</v>
      </c>
      <c r="N60" s="18">
        <f t="shared" si="3"/>
        <v>287.04000000000008</v>
      </c>
      <c r="O60" s="20">
        <f t="shared" si="4"/>
        <v>0</v>
      </c>
      <c r="P60" s="21">
        <f t="shared" si="5"/>
        <v>-12.959999999999923</v>
      </c>
      <c r="Q60" s="344">
        <f t="shared" si="6"/>
        <v>0.95680000000000021</v>
      </c>
      <c r="R60" s="573"/>
      <c r="S60" s="49">
        <v>0.24513888888888891</v>
      </c>
      <c r="T60" s="49">
        <v>0.26250000000000001</v>
      </c>
      <c r="U60" s="343">
        <f t="shared" ref="U60:U63" si="44">(S60-T59)*24*60</f>
        <v>6.0000000000000187</v>
      </c>
      <c r="V60" s="347">
        <f t="shared" si="42"/>
        <v>24.999999999999993</v>
      </c>
      <c r="W60" s="343"/>
      <c r="X60" s="343"/>
      <c r="Y60" s="343"/>
      <c r="Z60" s="343"/>
      <c r="AA60" s="575"/>
      <c r="AB60" s="575"/>
      <c r="AC60" s="50"/>
      <c r="AD60" s="27"/>
      <c r="AE60" s="20">
        <f t="shared" si="43"/>
        <v>-129.59999999999945</v>
      </c>
      <c r="AF60" s="344">
        <f t="shared" si="9"/>
        <v>0.95680000000000021</v>
      </c>
      <c r="AG60" s="573"/>
    </row>
    <row r="61" spans="1:33" ht="15.75" customHeight="1">
      <c r="A61" s="580" t="s">
        <v>2055</v>
      </c>
      <c r="B61" s="348" t="s">
        <v>104</v>
      </c>
      <c r="C61" s="574" t="s">
        <v>117</v>
      </c>
      <c r="D61" s="574"/>
      <c r="E61" s="39">
        <v>26.78</v>
      </c>
      <c r="F61" s="45">
        <v>2346</v>
      </c>
      <c r="G61" s="343">
        <f t="shared" si="40"/>
        <v>62825.880000000005</v>
      </c>
      <c r="H61" s="48" t="s">
        <v>126</v>
      </c>
      <c r="I61" s="346">
        <v>10</v>
      </c>
      <c r="J61" s="43">
        <v>3000</v>
      </c>
      <c r="K61" s="18">
        <f t="shared" si="1"/>
        <v>300</v>
      </c>
      <c r="L61" s="346">
        <v>10</v>
      </c>
      <c r="M61" s="19">
        <f t="shared" si="41"/>
        <v>2872.6530612244906</v>
      </c>
      <c r="N61" s="18">
        <f t="shared" si="3"/>
        <v>287.26530612244903</v>
      </c>
      <c r="O61" s="20">
        <f t="shared" si="4"/>
        <v>0</v>
      </c>
      <c r="P61" s="21">
        <f t="shared" si="5"/>
        <v>-12.734693877550967</v>
      </c>
      <c r="Q61" s="344">
        <f t="shared" si="6"/>
        <v>0.95755102040816342</v>
      </c>
      <c r="R61" s="573"/>
      <c r="S61" s="49">
        <v>0.2673611111111111</v>
      </c>
      <c r="T61" s="49">
        <v>0.30138888888888887</v>
      </c>
      <c r="U61" s="343">
        <f t="shared" si="44"/>
        <v>6.9999999999999751</v>
      </c>
      <c r="V61" s="347">
        <f t="shared" si="42"/>
        <v>48.999999999999986</v>
      </c>
      <c r="W61" s="343"/>
      <c r="X61" s="343"/>
      <c r="Y61" s="343"/>
      <c r="Z61" s="343"/>
      <c r="AA61" s="575"/>
      <c r="AB61" s="575"/>
      <c r="AC61" s="50"/>
      <c r="AD61" s="27"/>
      <c r="AE61" s="20">
        <f t="shared" si="43"/>
        <v>-127.34693877550944</v>
      </c>
      <c r="AF61" s="344">
        <f t="shared" si="9"/>
        <v>0.95755102040816353</v>
      </c>
      <c r="AG61" s="573"/>
    </row>
    <row r="62" spans="1:33" ht="15.75" customHeight="1">
      <c r="A62" s="580" t="s">
        <v>2055</v>
      </c>
      <c r="B62" s="348" t="s">
        <v>104</v>
      </c>
      <c r="C62" s="574" t="s">
        <v>119</v>
      </c>
      <c r="D62" s="574"/>
      <c r="E62" s="39">
        <v>35.869999999999997</v>
      </c>
      <c r="F62" s="45">
        <v>3828</v>
      </c>
      <c r="G62" s="343">
        <f t="shared" si="40"/>
        <v>137310.35999999999</v>
      </c>
      <c r="H62" s="48" t="s">
        <v>126</v>
      </c>
      <c r="I62" s="346">
        <v>9</v>
      </c>
      <c r="J62" s="43">
        <v>3000</v>
      </c>
      <c r="K62" s="18">
        <f t="shared" si="1"/>
        <v>333.33333333333331</v>
      </c>
      <c r="L62" s="346">
        <v>9</v>
      </c>
      <c r="M62" s="19">
        <f t="shared" si="41"/>
        <v>2871.0000000000014</v>
      </c>
      <c r="N62" s="18">
        <f t="shared" si="3"/>
        <v>319.00000000000017</v>
      </c>
      <c r="O62" s="20">
        <f t="shared" si="4"/>
        <v>0</v>
      </c>
      <c r="P62" s="21">
        <f t="shared" si="5"/>
        <v>-14.333333333333144</v>
      </c>
      <c r="Q62" s="344">
        <f t="shared" si="6"/>
        <v>0.95700000000000052</v>
      </c>
      <c r="R62" s="573"/>
      <c r="S62" s="49">
        <v>0.30694444444444441</v>
      </c>
      <c r="T62" s="49">
        <v>0.36249999999999993</v>
      </c>
      <c r="U62" s="343">
        <f t="shared" si="44"/>
        <v>7.9999999999999716</v>
      </c>
      <c r="V62" s="347">
        <f t="shared" si="42"/>
        <v>79.999999999999957</v>
      </c>
      <c r="W62" s="343"/>
      <c r="X62" s="343"/>
      <c r="Y62" s="343"/>
      <c r="Z62" s="343"/>
      <c r="AA62" s="575"/>
      <c r="AB62" s="575"/>
      <c r="AC62" s="50"/>
      <c r="AD62" s="27"/>
      <c r="AE62" s="20">
        <f t="shared" si="43"/>
        <v>-128.99999999999864</v>
      </c>
      <c r="AF62" s="344">
        <f t="shared" si="9"/>
        <v>0.95700000000000041</v>
      </c>
      <c r="AG62" s="573"/>
    </row>
    <row r="63" spans="1:33">
      <c r="A63" s="581" t="s">
        <v>2055</v>
      </c>
      <c r="B63" s="348" t="s">
        <v>104</v>
      </c>
      <c r="C63" s="574" t="s">
        <v>120</v>
      </c>
      <c r="D63" s="574"/>
      <c r="E63" s="39">
        <v>34.35</v>
      </c>
      <c r="F63" s="45">
        <v>2180</v>
      </c>
      <c r="G63" s="343">
        <f t="shared" si="40"/>
        <v>74883</v>
      </c>
      <c r="H63" s="48" t="s">
        <v>126</v>
      </c>
      <c r="I63" s="346">
        <v>8</v>
      </c>
      <c r="J63" s="43">
        <v>3000</v>
      </c>
      <c r="K63" s="18">
        <f t="shared" si="1"/>
        <v>375</v>
      </c>
      <c r="L63" s="346">
        <v>8</v>
      </c>
      <c r="M63" s="19">
        <f t="shared" si="41"/>
        <v>2906.6666666666665</v>
      </c>
      <c r="N63" s="18">
        <f t="shared" si="3"/>
        <v>363.33333333333331</v>
      </c>
      <c r="O63" s="20">
        <f t="shared" si="4"/>
        <v>0</v>
      </c>
      <c r="P63" s="21">
        <f t="shared" si="5"/>
        <v>-11.666666666666686</v>
      </c>
      <c r="Q63" s="344">
        <f t="shared" si="6"/>
        <v>0.9688888888888888</v>
      </c>
      <c r="R63" s="573"/>
      <c r="S63" s="49">
        <v>0.36736111111111103</v>
      </c>
      <c r="T63" s="49">
        <v>0.39861111111111103</v>
      </c>
      <c r="U63" s="343">
        <f t="shared" si="44"/>
        <v>6.9999999999999751</v>
      </c>
      <c r="V63" s="347">
        <f t="shared" si="42"/>
        <v>45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-93.333333333333485</v>
      </c>
      <c r="AF63" s="344">
        <f t="shared" si="9"/>
        <v>0.9688888888888888</v>
      </c>
      <c r="AG63" s="573"/>
    </row>
    <row r="64" spans="1:33">
      <c r="A64" s="581" t="s">
        <v>2055</v>
      </c>
      <c r="B64" s="39" t="s">
        <v>2049</v>
      </c>
      <c r="C64" s="576"/>
      <c r="D64" s="576"/>
      <c r="E64" s="345"/>
      <c r="F64" s="42"/>
      <c r="G64" s="18"/>
      <c r="H64" s="348"/>
      <c r="I64" s="32">
        <v>9.4</v>
      </c>
      <c r="J64" s="43">
        <v>3000</v>
      </c>
      <c r="K64" s="18">
        <f t="shared" si="1"/>
        <v>319.14893617021278</v>
      </c>
      <c r="L64" s="32">
        <v>9.4</v>
      </c>
      <c r="M64" s="19">
        <f>AVERAGE(M59:M63)</f>
        <v>2879.3779881314235</v>
      </c>
      <c r="N64" s="18">
        <f t="shared" si="3"/>
        <v>306.31680724802379</v>
      </c>
      <c r="O64" s="20">
        <f t="shared" si="4"/>
        <v>0</v>
      </c>
      <c r="P64" s="21">
        <f t="shared" si="5"/>
        <v>-12.832128922188986</v>
      </c>
      <c r="Q64" s="344">
        <f t="shared" si="6"/>
        <v>0.95979266271047448</v>
      </c>
      <c r="R64" s="573"/>
      <c r="S64" s="49"/>
      <c r="T64" s="49"/>
      <c r="U64" s="18"/>
      <c r="V64" s="347"/>
      <c r="W64" s="18"/>
      <c r="X64" s="18"/>
      <c r="Y64" s="33">
        <f>SUM(Y59:Y63)</f>
        <v>0</v>
      </c>
      <c r="Z64" s="33">
        <f>SUM(Z59:Z63)</f>
        <v>0</v>
      </c>
      <c r="AA64" s="572"/>
      <c r="AB64" s="572"/>
      <c r="AC64" s="33">
        <v>5</v>
      </c>
      <c r="AD64" s="33">
        <f>SUM(AD59:AD63)</f>
        <v>0</v>
      </c>
      <c r="AE64" s="20">
        <f t="shared" si="43"/>
        <v>-120.62201186857646</v>
      </c>
      <c r="AF64" s="344">
        <f t="shared" si="9"/>
        <v>0.95979266271047448</v>
      </c>
      <c r="AG64" s="573"/>
    </row>
    <row r="65" spans="1:33" ht="15.75" customHeight="1">
      <c r="A65" s="577" t="s">
        <v>2056</v>
      </c>
      <c r="B65" s="348" t="s">
        <v>94</v>
      </c>
      <c r="C65" s="574" t="s">
        <v>124</v>
      </c>
      <c r="D65" s="574"/>
      <c r="E65" s="39">
        <v>22.69</v>
      </c>
      <c r="F65" s="348">
        <v>4477</v>
      </c>
      <c r="G65" s="343">
        <f t="shared" ref="G65:G72" si="45">E65*F65</f>
        <v>101583.13</v>
      </c>
      <c r="H65" s="48" t="s">
        <v>126</v>
      </c>
      <c r="I65" s="346">
        <v>15</v>
      </c>
      <c r="J65" s="43">
        <v>2400</v>
      </c>
      <c r="K65" s="18">
        <f t="shared" si="1"/>
        <v>160</v>
      </c>
      <c r="L65" s="346">
        <v>15</v>
      </c>
      <c r="M65" s="19">
        <f t="shared" ref="M65:M72" si="46">F65/V65*60</f>
        <v>2295.8974358974356</v>
      </c>
      <c r="N65" s="18">
        <f t="shared" si="3"/>
        <v>153.05982905982904</v>
      </c>
      <c r="O65" s="20">
        <f t="shared" si="4"/>
        <v>0</v>
      </c>
      <c r="P65" s="21">
        <f t="shared" si="5"/>
        <v>-6.9401709401709581</v>
      </c>
      <c r="Q65" s="344">
        <f t="shared" si="6"/>
        <v>0.95662393162393156</v>
      </c>
      <c r="R65" s="573">
        <f>Q73</f>
        <v>0.95733642886052028</v>
      </c>
      <c r="S65" s="49">
        <v>8.3333333333333329E-2</v>
      </c>
      <c r="T65" s="49">
        <v>0.16458333333333333</v>
      </c>
      <c r="U65" s="30"/>
      <c r="V65" s="347">
        <f t="shared" ref="V65:V72" si="47">(T65-S65)*24*60</f>
        <v>117.00000000000001</v>
      </c>
      <c r="W65" s="25">
        <f>T65</f>
        <v>0.16458333333333333</v>
      </c>
      <c r="X65" s="25">
        <f>S66</f>
        <v>0.18472222222222223</v>
      </c>
      <c r="Y65" s="25"/>
      <c r="Z65" s="25"/>
      <c r="AA65" s="575"/>
      <c r="AB65" s="575"/>
      <c r="AC65" s="50">
        <v>8</v>
      </c>
      <c r="AD65" s="27"/>
      <c r="AE65" s="20">
        <f t="shared" si="43"/>
        <v>-104.10256410256443</v>
      </c>
      <c r="AF65" s="344">
        <f t="shared" si="9"/>
        <v>0.95662393162393144</v>
      </c>
      <c r="AG65" s="573">
        <f>AF73</f>
        <v>0.95733642886052028</v>
      </c>
    </row>
    <row r="66" spans="1:33" ht="15.75" customHeight="1">
      <c r="A66" s="578" t="s">
        <v>2056</v>
      </c>
      <c r="B66" s="348" t="s">
        <v>94</v>
      </c>
      <c r="C66" s="574" t="s">
        <v>125</v>
      </c>
      <c r="D66" s="574"/>
      <c r="E66" s="39">
        <v>19.02</v>
      </c>
      <c r="F66" s="348">
        <v>5900</v>
      </c>
      <c r="G66" s="343">
        <f t="shared" si="45"/>
        <v>112218</v>
      </c>
      <c r="H66" s="48">
        <v>2</v>
      </c>
      <c r="I66" s="346">
        <v>14</v>
      </c>
      <c r="J66" s="43">
        <v>2400</v>
      </c>
      <c r="K66" s="18">
        <f t="shared" si="1"/>
        <v>171.42857142857142</v>
      </c>
      <c r="L66" s="346">
        <v>14</v>
      </c>
      <c r="M66" s="19">
        <f t="shared" si="46"/>
        <v>2298.701298701299</v>
      </c>
      <c r="N66" s="18">
        <f t="shared" si="3"/>
        <v>164.19294990723566</v>
      </c>
      <c r="O66" s="20">
        <f t="shared" si="4"/>
        <v>0</v>
      </c>
      <c r="P66" s="21">
        <f t="shared" si="5"/>
        <v>-7.2356215213357586</v>
      </c>
      <c r="Q66" s="344">
        <f t="shared" si="6"/>
        <v>0.95779220779220808</v>
      </c>
      <c r="R66" s="573"/>
      <c r="S66" s="49">
        <v>0.18472222222222223</v>
      </c>
      <c r="T66" s="49">
        <v>0.29166666666666669</v>
      </c>
      <c r="U66" s="343">
        <f t="shared" ref="U66:U72" si="48">(S66-T65)*24*60</f>
        <v>29.000000000000018</v>
      </c>
      <c r="V66" s="347">
        <f t="shared" si="47"/>
        <v>154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-101.29870129870096</v>
      </c>
      <c r="AF66" s="344">
        <f t="shared" si="9"/>
        <v>0.95779220779220797</v>
      </c>
      <c r="AG66" s="573"/>
    </row>
    <row r="67" spans="1:33" ht="15.75" customHeight="1">
      <c r="A67" s="578" t="s">
        <v>2056</v>
      </c>
      <c r="B67" s="348" t="s">
        <v>94</v>
      </c>
      <c r="C67" s="574" t="s">
        <v>99</v>
      </c>
      <c r="D67" s="574"/>
      <c r="E67" s="39">
        <v>20.36</v>
      </c>
      <c r="F67" s="348">
        <v>3200</v>
      </c>
      <c r="G67" s="343">
        <f t="shared" si="45"/>
        <v>65152</v>
      </c>
      <c r="H67" s="48">
        <v>2</v>
      </c>
      <c r="I67" s="346">
        <v>17</v>
      </c>
      <c r="J67" s="43">
        <v>2400</v>
      </c>
      <c r="K67" s="18">
        <f t="shared" si="1"/>
        <v>141.1764705882353</v>
      </c>
      <c r="L67" s="346">
        <v>17</v>
      </c>
      <c r="M67" s="19">
        <f t="shared" si="46"/>
        <v>2285.7142857142849</v>
      </c>
      <c r="N67" s="18">
        <f t="shared" si="3"/>
        <v>134.45378151260499</v>
      </c>
      <c r="O67" s="20">
        <f t="shared" si="4"/>
        <v>0</v>
      </c>
      <c r="P67" s="21">
        <f t="shared" si="5"/>
        <v>-6.7226890756303135</v>
      </c>
      <c r="Q67" s="344">
        <f t="shared" si="6"/>
        <v>0.952380952380952</v>
      </c>
      <c r="R67" s="573"/>
      <c r="S67" s="49">
        <v>0.2951388888888889</v>
      </c>
      <c r="T67" s="49">
        <v>0.35347222222222224</v>
      </c>
      <c r="U67" s="343">
        <f t="shared" si="48"/>
        <v>4.9999999999999822</v>
      </c>
      <c r="V67" s="347">
        <f t="shared" si="47"/>
        <v>84.000000000000028</v>
      </c>
      <c r="W67" s="25"/>
      <c r="X67" s="25"/>
      <c r="Y67" s="25"/>
      <c r="Z67" s="25"/>
      <c r="AA67" s="575"/>
      <c r="AB67" s="575"/>
      <c r="AC67" s="50"/>
      <c r="AD67" s="27"/>
      <c r="AE67" s="20">
        <f t="shared" si="43"/>
        <v>-114.28571428571513</v>
      </c>
      <c r="AF67" s="344">
        <f t="shared" si="9"/>
        <v>0.952380952380952</v>
      </c>
      <c r="AG67" s="573"/>
    </row>
    <row r="68" spans="1:33" ht="15.75" customHeight="1">
      <c r="A68" s="578" t="s">
        <v>2056</v>
      </c>
      <c r="B68" s="348" t="s">
        <v>94</v>
      </c>
      <c r="C68" s="574" t="s">
        <v>123</v>
      </c>
      <c r="D68" s="574"/>
      <c r="E68" s="39">
        <v>20.21</v>
      </c>
      <c r="F68" s="348">
        <v>3327</v>
      </c>
      <c r="G68" s="343">
        <f t="shared" si="45"/>
        <v>67238.67</v>
      </c>
      <c r="H68" s="48" t="s">
        <v>126</v>
      </c>
      <c r="I68" s="346">
        <v>15</v>
      </c>
      <c r="J68" s="43">
        <v>2400</v>
      </c>
      <c r="K68" s="18">
        <f t="shared" si="1"/>
        <v>160</v>
      </c>
      <c r="L68" s="346">
        <v>15</v>
      </c>
      <c r="M68" s="19">
        <f t="shared" si="46"/>
        <v>2294.4827586206893</v>
      </c>
      <c r="N68" s="18">
        <f t="shared" si="3"/>
        <v>152.96551724137927</v>
      </c>
      <c r="O68" s="20">
        <f t="shared" si="4"/>
        <v>0</v>
      </c>
      <c r="P68" s="21">
        <f t="shared" si="5"/>
        <v>-7.0344827586207259</v>
      </c>
      <c r="Q68" s="344">
        <f t="shared" si="6"/>
        <v>0.95603448275862046</v>
      </c>
      <c r="R68" s="573"/>
      <c r="S68" s="49">
        <v>0.35694444444444445</v>
      </c>
      <c r="T68" s="49">
        <v>0.41736111111111113</v>
      </c>
      <c r="U68" s="343">
        <f t="shared" si="48"/>
        <v>4.9999999999999822</v>
      </c>
      <c r="V68" s="347">
        <f t="shared" si="47"/>
        <v>87.000000000000014</v>
      </c>
      <c r="W68" s="25"/>
      <c r="X68" s="25"/>
      <c r="Y68" s="25"/>
      <c r="Z68" s="25"/>
      <c r="AA68" s="575"/>
      <c r="AB68" s="575"/>
      <c r="AC68" s="50"/>
      <c r="AD68" s="27"/>
      <c r="AE68" s="20">
        <f t="shared" si="43"/>
        <v>-105.51724137931069</v>
      </c>
      <c r="AF68" s="344">
        <f t="shared" si="9"/>
        <v>0.95603448275862057</v>
      </c>
      <c r="AG68" s="573"/>
    </row>
    <row r="69" spans="1:33" ht="15.75" customHeight="1">
      <c r="A69" s="578" t="s">
        <v>2056</v>
      </c>
      <c r="B69" s="348" t="s">
        <v>94</v>
      </c>
      <c r="C69" s="574" t="s">
        <v>1954</v>
      </c>
      <c r="D69" s="574"/>
      <c r="E69" s="39">
        <v>20.21</v>
      </c>
      <c r="F69" s="348">
        <v>4500</v>
      </c>
      <c r="G69" s="343">
        <f t="shared" si="45"/>
        <v>90945</v>
      </c>
      <c r="H69" s="48">
        <v>2</v>
      </c>
      <c r="I69" s="346">
        <v>18</v>
      </c>
      <c r="J69" s="43">
        <v>2400</v>
      </c>
      <c r="K69" s="18">
        <f t="shared" ref="K69:K73" si="49">J69/I69</f>
        <v>133.33333333333334</v>
      </c>
      <c r="L69" s="346">
        <v>18</v>
      </c>
      <c r="M69" s="19">
        <f t="shared" si="46"/>
        <v>2288.1355932203396</v>
      </c>
      <c r="N69" s="18">
        <f t="shared" ref="N69:N73" si="50">M69/L69</f>
        <v>127.11864406779665</v>
      </c>
      <c r="O69" s="20">
        <f t="shared" ref="O69:O73" si="51">L69-I69</f>
        <v>0</v>
      </c>
      <c r="P69" s="21">
        <f t="shared" ref="P69:P73" si="52">N69-K69</f>
        <v>-6.2146892655366912</v>
      </c>
      <c r="Q69" s="344">
        <f t="shared" ref="Q69:Q73" si="53">N69/K69</f>
        <v>0.95338983050847481</v>
      </c>
      <c r="R69" s="573"/>
      <c r="S69" s="49">
        <v>0.42222222222222222</v>
      </c>
      <c r="T69" s="49">
        <v>0.50416666666666665</v>
      </c>
      <c r="U69" s="343">
        <f t="shared" si="48"/>
        <v>6.9999999999999751</v>
      </c>
      <c r="V69" s="347">
        <f t="shared" si="47"/>
        <v>117.99999999999999</v>
      </c>
      <c r="W69" s="25">
        <f>T69</f>
        <v>0.50416666666666665</v>
      </c>
      <c r="X69" s="25">
        <f>S70</f>
        <v>0.5444444444444444</v>
      </c>
      <c r="Y69" s="25"/>
      <c r="Z69" s="25"/>
      <c r="AA69" s="575"/>
      <c r="AB69" s="575"/>
      <c r="AC69" s="50"/>
      <c r="AD69" s="27"/>
      <c r="AE69" s="20">
        <f t="shared" si="43"/>
        <v>-111.86440677966038</v>
      </c>
      <c r="AF69" s="344">
        <f t="shared" ref="AF69:AF73" si="54">M69/J69</f>
        <v>0.95338983050847481</v>
      </c>
      <c r="AG69" s="573"/>
    </row>
    <row r="70" spans="1:33" ht="15.75" customHeight="1">
      <c r="A70" s="578" t="s">
        <v>2056</v>
      </c>
      <c r="B70" s="348" t="s">
        <v>94</v>
      </c>
      <c r="C70" s="574" t="s">
        <v>1954</v>
      </c>
      <c r="D70" s="574"/>
      <c r="E70" s="39">
        <v>20.21</v>
      </c>
      <c r="F70" s="348">
        <v>3266</v>
      </c>
      <c r="G70" s="343">
        <f t="shared" si="45"/>
        <v>66005.86</v>
      </c>
      <c r="H70" s="48" t="s">
        <v>126</v>
      </c>
      <c r="I70" s="346">
        <v>18</v>
      </c>
      <c r="J70" s="43">
        <v>2400</v>
      </c>
      <c r="K70" s="18">
        <f t="shared" si="49"/>
        <v>133.33333333333334</v>
      </c>
      <c r="L70" s="346">
        <v>18</v>
      </c>
      <c r="M70" s="19">
        <f t="shared" si="46"/>
        <v>2305.411764705882</v>
      </c>
      <c r="N70" s="18">
        <f t="shared" si="50"/>
        <v>128.07843137254901</v>
      </c>
      <c r="O70" s="20">
        <f t="shared" si="51"/>
        <v>0</v>
      </c>
      <c r="P70" s="21">
        <f t="shared" si="52"/>
        <v>-5.2549019607843377</v>
      </c>
      <c r="Q70" s="344">
        <f t="shared" si="53"/>
        <v>0.96058823529411752</v>
      </c>
      <c r="R70" s="573"/>
      <c r="S70" s="49">
        <v>0.5444444444444444</v>
      </c>
      <c r="T70" s="49">
        <v>0.60347222222222219</v>
      </c>
      <c r="U70" s="343">
        <f t="shared" si="48"/>
        <v>57.999999999999957</v>
      </c>
      <c r="V70" s="347">
        <f t="shared" si="47"/>
        <v>85.000000000000014</v>
      </c>
      <c r="W70" s="25"/>
      <c r="X70" s="25"/>
      <c r="Y70" s="25"/>
      <c r="Z70" s="25"/>
      <c r="AA70" s="575"/>
      <c r="AB70" s="575"/>
      <c r="AC70" s="50"/>
      <c r="AD70" s="27"/>
      <c r="AE70" s="20">
        <f t="shared" si="43"/>
        <v>-94.588235294118022</v>
      </c>
      <c r="AF70" s="344">
        <f t="shared" si="54"/>
        <v>0.96058823529411752</v>
      </c>
      <c r="AG70" s="573"/>
    </row>
    <row r="71" spans="1:33" ht="15.75" customHeight="1">
      <c r="A71" s="578" t="s">
        <v>2056</v>
      </c>
      <c r="B71" s="348" t="s">
        <v>94</v>
      </c>
      <c r="C71" s="566" t="s">
        <v>125</v>
      </c>
      <c r="D71" s="567"/>
      <c r="E71" s="39">
        <v>19.02</v>
      </c>
      <c r="F71" s="348">
        <v>4479</v>
      </c>
      <c r="G71" s="343">
        <f t="shared" si="45"/>
        <v>85190.58</v>
      </c>
      <c r="H71" s="48" t="s">
        <v>126</v>
      </c>
      <c r="I71" s="346">
        <v>14</v>
      </c>
      <c r="J71" s="43">
        <v>2400</v>
      </c>
      <c r="K71" s="18">
        <f t="shared" si="49"/>
        <v>171.42857142857142</v>
      </c>
      <c r="L71" s="346">
        <v>14</v>
      </c>
      <c r="M71" s="19">
        <f t="shared" si="46"/>
        <v>2296.9230769230758</v>
      </c>
      <c r="N71" s="18">
        <f t="shared" si="50"/>
        <v>164.06593406593399</v>
      </c>
      <c r="O71" s="20">
        <f t="shared" si="51"/>
        <v>0</v>
      </c>
      <c r="P71" s="21">
        <f t="shared" si="52"/>
        <v>-7.3626373626374289</v>
      </c>
      <c r="Q71" s="344">
        <f t="shared" si="53"/>
        <v>0.95705128205128165</v>
      </c>
      <c r="R71" s="573"/>
      <c r="S71" s="49">
        <v>0.60902777777777772</v>
      </c>
      <c r="T71" s="49">
        <v>0.69027777777777777</v>
      </c>
      <c r="U71" s="343">
        <f t="shared" si="48"/>
        <v>7.9999999999999716</v>
      </c>
      <c r="V71" s="347">
        <f t="shared" si="47"/>
        <v>117.00000000000006</v>
      </c>
      <c r="W71" s="25"/>
      <c r="X71" s="25"/>
      <c r="Y71" s="28"/>
      <c r="Z71" s="28"/>
      <c r="AA71" s="568"/>
      <c r="AB71" s="569"/>
      <c r="AC71" s="50"/>
      <c r="AD71" s="27"/>
      <c r="AE71" s="20">
        <f t="shared" si="43"/>
        <v>-103.07692307692423</v>
      </c>
      <c r="AF71" s="344">
        <f t="shared" si="54"/>
        <v>0.95705128205128154</v>
      </c>
      <c r="AG71" s="573"/>
    </row>
    <row r="72" spans="1:33" ht="15.75" customHeight="1">
      <c r="A72" s="578" t="s">
        <v>2056</v>
      </c>
      <c r="B72" s="348" t="s">
        <v>94</v>
      </c>
      <c r="C72" s="566" t="s">
        <v>99</v>
      </c>
      <c r="D72" s="567"/>
      <c r="E72" s="39">
        <v>20.36</v>
      </c>
      <c r="F72" s="348">
        <v>2277</v>
      </c>
      <c r="G72" s="343">
        <f t="shared" si="45"/>
        <v>46359.72</v>
      </c>
      <c r="H72" s="48" t="s">
        <v>126</v>
      </c>
      <c r="I72" s="346">
        <v>17</v>
      </c>
      <c r="J72" s="43">
        <v>2400</v>
      </c>
      <c r="K72" s="18">
        <f t="shared" si="49"/>
        <v>141.1764705882353</v>
      </c>
      <c r="L72" s="346">
        <v>17</v>
      </c>
      <c r="M72" s="19">
        <f t="shared" si="46"/>
        <v>2315.5932203389848</v>
      </c>
      <c r="N72" s="18">
        <f t="shared" si="50"/>
        <v>136.21136590229321</v>
      </c>
      <c r="O72" s="20">
        <f t="shared" si="51"/>
        <v>0</v>
      </c>
      <c r="P72" s="21">
        <f t="shared" si="52"/>
        <v>-4.9651046859420944</v>
      </c>
      <c r="Q72" s="344">
        <f t="shared" si="53"/>
        <v>0.96483050847457685</v>
      </c>
      <c r="R72" s="573"/>
      <c r="S72" s="49">
        <v>0.69444444444444442</v>
      </c>
      <c r="T72" s="49">
        <v>0.73541666666666661</v>
      </c>
      <c r="U72" s="343">
        <f t="shared" si="48"/>
        <v>5.9999999999999787</v>
      </c>
      <c r="V72" s="347">
        <f t="shared" si="47"/>
        <v>58.99999999999995</v>
      </c>
      <c r="W72" s="25"/>
      <c r="X72" s="25"/>
      <c r="Y72" s="28"/>
      <c r="Z72" s="28"/>
      <c r="AA72" s="568"/>
      <c r="AB72" s="569"/>
      <c r="AC72" s="50"/>
      <c r="AD72" s="27"/>
      <c r="AE72" s="20">
        <f t="shared" si="43"/>
        <v>-84.406779661015207</v>
      </c>
      <c r="AF72" s="344">
        <f t="shared" si="54"/>
        <v>0.96483050847457696</v>
      </c>
      <c r="AG72" s="573"/>
    </row>
    <row r="73" spans="1:33" ht="16.5" customHeight="1">
      <c r="A73" s="579" t="s">
        <v>2056</v>
      </c>
      <c r="B73" s="39" t="s">
        <v>2049</v>
      </c>
      <c r="C73" s="570"/>
      <c r="D73" s="571"/>
      <c r="E73" s="345"/>
      <c r="F73" s="42"/>
      <c r="G73" s="18"/>
      <c r="H73" s="348"/>
      <c r="I73" s="32">
        <v>16</v>
      </c>
      <c r="J73" s="43">
        <v>2400</v>
      </c>
      <c r="K73" s="18">
        <f t="shared" si="49"/>
        <v>150</v>
      </c>
      <c r="L73" s="32">
        <v>16</v>
      </c>
      <c r="M73" s="19">
        <f>AVERAGE(M65:M72)</f>
        <v>2297.6074292652488</v>
      </c>
      <c r="N73" s="18">
        <f t="shared" si="50"/>
        <v>143.60046432907805</v>
      </c>
      <c r="O73" s="20">
        <f t="shared" si="51"/>
        <v>0</v>
      </c>
      <c r="P73" s="21">
        <f t="shared" si="52"/>
        <v>-6.3995356709219493</v>
      </c>
      <c r="Q73" s="344">
        <f t="shared" si="53"/>
        <v>0.95733642886052028</v>
      </c>
      <c r="R73" s="573"/>
      <c r="S73" s="49"/>
      <c r="T73" s="49"/>
      <c r="U73" s="18"/>
      <c r="V73" s="347"/>
      <c r="W73" s="18"/>
      <c r="X73" s="18"/>
      <c r="Y73" s="33">
        <f>SUM(Y65:Y72)</f>
        <v>0</v>
      </c>
      <c r="Z73" s="33">
        <f>SUM(Z65:Z72)</f>
        <v>0</v>
      </c>
      <c r="AA73" s="572"/>
      <c r="AB73" s="572"/>
      <c r="AC73" s="33">
        <v>8</v>
      </c>
      <c r="AD73" s="33">
        <f>SUM(AD65:AD72)</f>
        <v>0</v>
      </c>
      <c r="AE73" s="20">
        <f t="shared" si="43"/>
        <v>-102.39257073475119</v>
      </c>
      <c r="AF73" s="344">
        <f t="shared" si="54"/>
        <v>0.95733642886052028</v>
      </c>
      <c r="AG73" s="573"/>
    </row>
    <row r="74" spans="1:33">
      <c r="D74" s="35"/>
      <c r="E74" s="35"/>
    </row>
  </sheetData>
  <mergeCells count="197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9:A14"/>
    <mergeCell ref="C9:D9"/>
    <mergeCell ref="R9:R14"/>
    <mergeCell ref="AA9:AB9"/>
    <mergeCell ref="AA14:AB14"/>
    <mergeCell ref="AG15:AG20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A19:AB19"/>
    <mergeCell ref="C20:D20"/>
    <mergeCell ref="AA20:AB20"/>
    <mergeCell ref="A21:A27"/>
    <mergeCell ref="C21:D21"/>
    <mergeCell ref="R21:R27"/>
    <mergeCell ref="AA21:AB21"/>
    <mergeCell ref="AA26:AB26"/>
    <mergeCell ref="A15:A20"/>
    <mergeCell ref="C15:D15"/>
    <mergeCell ref="R15:R20"/>
    <mergeCell ref="AA15:AB15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6:AB36"/>
    <mergeCell ref="A37:A45"/>
    <mergeCell ref="C37:D37"/>
    <mergeCell ref="R37:R45"/>
    <mergeCell ref="AA37:AB37"/>
    <mergeCell ref="C38:D38"/>
    <mergeCell ref="AA38:AB38"/>
    <mergeCell ref="C39:D39"/>
    <mergeCell ref="AA39:AB39"/>
    <mergeCell ref="A28:A36"/>
    <mergeCell ref="C28:D28"/>
    <mergeCell ref="R28:R36"/>
    <mergeCell ref="AA28:AB28"/>
    <mergeCell ref="AA33:AB33"/>
    <mergeCell ref="C34:D34"/>
    <mergeCell ref="AA34:AB34"/>
    <mergeCell ref="C36:D36"/>
    <mergeCell ref="AG46:AG50"/>
    <mergeCell ref="C47:D47"/>
    <mergeCell ref="AA47:AB47"/>
    <mergeCell ref="C48:D48"/>
    <mergeCell ref="AA48:AB48"/>
    <mergeCell ref="C49:D49"/>
    <mergeCell ref="C43:D43"/>
    <mergeCell ref="AA43:AB43"/>
    <mergeCell ref="C44:D44"/>
    <mergeCell ref="AA44:AB44"/>
    <mergeCell ref="C45:D45"/>
    <mergeCell ref="AA45:AB45"/>
    <mergeCell ref="AG37:AG45"/>
    <mergeCell ref="AA49:AB49"/>
    <mergeCell ref="C50:D50"/>
    <mergeCell ref="AA50:AB50"/>
    <mergeCell ref="C40:D40"/>
    <mergeCell ref="AA40:AB40"/>
    <mergeCell ref="C41:D41"/>
    <mergeCell ref="AA41:AB41"/>
    <mergeCell ref="C42:D42"/>
    <mergeCell ref="AA42:AB42"/>
    <mergeCell ref="A51:A58"/>
    <mergeCell ref="C51:D51"/>
    <mergeCell ref="R51:R58"/>
    <mergeCell ref="AA51:AB51"/>
    <mergeCell ref="AA57:AB57"/>
    <mergeCell ref="C58:D58"/>
    <mergeCell ref="AA58:AB58"/>
    <mergeCell ref="A46:A50"/>
    <mergeCell ref="C46:D46"/>
    <mergeCell ref="R46:R50"/>
    <mergeCell ref="AA46:AB46"/>
    <mergeCell ref="AG59:AG64"/>
    <mergeCell ref="C60:D60"/>
    <mergeCell ref="AA60:AB60"/>
    <mergeCell ref="C61:D61"/>
    <mergeCell ref="AA61:AB61"/>
    <mergeCell ref="C62:D62"/>
    <mergeCell ref="AG51:AG58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A62:AB62"/>
    <mergeCell ref="C63:D63"/>
    <mergeCell ref="AA63:AB63"/>
    <mergeCell ref="C64:D64"/>
    <mergeCell ref="AA64:AB64"/>
    <mergeCell ref="A65:A73"/>
    <mergeCell ref="C65:D65"/>
    <mergeCell ref="R65:R73"/>
    <mergeCell ref="AA65:AB65"/>
    <mergeCell ref="AA70:AB70"/>
    <mergeCell ref="A59:A64"/>
    <mergeCell ref="C59:D59"/>
    <mergeCell ref="R59:R64"/>
    <mergeCell ref="AA59:AB59"/>
    <mergeCell ref="C71:D71"/>
    <mergeCell ref="AA71:AB71"/>
    <mergeCell ref="C72:D72"/>
    <mergeCell ref="AA72:AB72"/>
    <mergeCell ref="C73:D73"/>
    <mergeCell ref="AA73:AB73"/>
    <mergeCell ref="AG65:AG73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C70:D70"/>
  </mergeCells>
  <phoneticPr fontId="3" type="noConversion"/>
  <conditionalFormatting sqref="O62:O70 O58:O59 O73 O5:O9 O14:O16 O20:O56">
    <cfRule type="cellIs" dxfId="1180" priority="51" operator="greaterThan">
      <formula>0</formula>
    </cfRule>
  </conditionalFormatting>
  <conditionalFormatting sqref="P5:P7 P62:P63 AE62:AE63 P65:P70 P28:P35 P59 P9 P14:P16 P21:P26 P51:P56 P37:P49 AE5:AE59 AE65:AE73">
    <cfRule type="cellIs" dxfId="1179" priority="55" operator="lessThan">
      <formula>0</formula>
    </cfRule>
  </conditionalFormatting>
  <conditionalFormatting sqref="AF62:AF63 Q62:Q70 Q58:Q59 Q73 Q5:Q9 Q14:Q16 Q20:Q56 AF5:AF59 AF65:AF73">
    <cfRule type="cellIs" dxfId="1178" priority="52" operator="greaterThan">
      <formula>1</formula>
    </cfRule>
    <cfRule type="cellIs" dxfId="1177" priority="53" operator="lessThan">
      <formula>0.8</formula>
    </cfRule>
  </conditionalFormatting>
  <conditionalFormatting sqref="AG15:AG16 R15:R16 AG62 R62:R70 AG58:AG59 R58:R59 R73 AG5:AG9 R5:R9 AG20:AG56 R20:R56">
    <cfRule type="cellIs" dxfId="1176" priority="57" operator="lessThan">
      <formula>0.8</formula>
    </cfRule>
  </conditionalFormatting>
  <conditionalFormatting sqref="AG46">
    <cfRule type="cellIs" dxfId="1175" priority="59" operator="lessThan">
      <formula>0.8</formula>
    </cfRule>
  </conditionalFormatting>
  <conditionalFormatting sqref="AG21:AG26">
    <cfRule type="cellIs" dxfId="1174" priority="56" operator="lessThan">
      <formula>0.8</formula>
    </cfRule>
  </conditionalFormatting>
  <conditionalFormatting sqref="AG28">
    <cfRule type="cellIs" dxfId="1173" priority="58" operator="lessThan">
      <formula>0.8</formula>
    </cfRule>
  </conditionalFormatting>
  <conditionalFormatting sqref="AG37:AG44">
    <cfRule type="cellIs" dxfId="1172" priority="54" operator="lessThan">
      <formula>0.8</formula>
    </cfRule>
  </conditionalFormatting>
  <conditionalFormatting sqref="AE64">
    <cfRule type="cellIs" dxfId="1171" priority="50" operator="lessThan">
      <formula>0</formula>
    </cfRule>
  </conditionalFormatting>
  <conditionalFormatting sqref="AF64">
    <cfRule type="cellIs" dxfId="1170" priority="48" operator="greaterThan">
      <formula>1</formula>
    </cfRule>
    <cfRule type="cellIs" dxfId="1169" priority="49" operator="lessThan">
      <formula>0.8</formula>
    </cfRule>
  </conditionalFormatting>
  <conditionalFormatting sqref="O17:O18">
    <cfRule type="cellIs" dxfId="1168" priority="43" operator="greaterThan">
      <formula>0</formula>
    </cfRule>
  </conditionalFormatting>
  <conditionalFormatting sqref="P17:P18">
    <cfRule type="cellIs" dxfId="1167" priority="46" operator="lessThan">
      <formula>0</formula>
    </cfRule>
  </conditionalFormatting>
  <conditionalFormatting sqref="Q17:Q18">
    <cfRule type="cellIs" dxfId="1166" priority="44" operator="greaterThan">
      <formula>1</formula>
    </cfRule>
    <cfRule type="cellIs" dxfId="1165" priority="45" operator="lessThan">
      <formula>0.8</formula>
    </cfRule>
  </conditionalFormatting>
  <conditionalFormatting sqref="R17:R18 AG17:AG18">
    <cfRule type="cellIs" dxfId="1164" priority="47" operator="lessThan">
      <formula>0.8</formula>
    </cfRule>
  </conditionalFormatting>
  <conditionalFormatting sqref="O10:O13">
    <cfRule type="cellIs" dxfId="1163" priority="39" operator="greaterThan">
      <formula>0</formula>
    </cfRule>
  </conditionalFormatting>
  <conditionalFormatting sqref="P10:P13">
    <cfRule type="cellIs" dxfId="1162" priority="42" operator="lessThan">
      <formula>0</formula>
    </cfRule>
  </conditionalFormatting>
  <conditionalFormatting sqref="Q10:Q13">
    <cfRule type="cellIs" dxfId="1161" priority="40" operator="greaterThan">
      <formula>1</formula>
    </cfRule>
    <cfRule type="cellIs" dxfId="1160" priority="41" operator="lessThan">
      <formula>0.8</formula>
    </cfRule>
  </conditionalFormatting>
  <conditionalFormatting sqref="O57">
    <cfRule type="cellIs" dxfId="1159" priority="34" operator="greaterThan">
      <formula>0</formula>
    </cfRule>
  </conditionalFormatting>
  <conditionalFormatting sqref="P57">
    <cfRule type="cellIs" dxfId="1158" priority="37" operator="lessThan">
      <formula>0</formula>
    </cfRule>
  </conditionalFormatting>
  <conditionalFormatting sqref="Q57">
    <cfRule type="cellIs" dxfId="1157" priority="35" operator="greaterThan">
      <formula>1</formula>
    </cfRule>
    <cfRule type="cellIs" dxfId="1156" priority="36" operator="lessThan">
      <formula>0.8</formula>
    </cfRule>
  </conditionalFormatting>
  <conditionalFormatting sqref="R57 AG57">
    <cfRule type="cellIs" dxfId="1155" priority="38" operator="lessThan">
      <formula>0.8</formula>
    </cfRule>
  </conditionalFormatting>
  <conditionalFormatting sqref="O61">
    <cfRule type="cellIs" dxfId="1154" priority="29" operator="greaterThan">
      <formula>0</formula>
    </cfRule>
  </conditionalFormatting>
  <conditionalFormatting sqref="P61 AE61">
    <cfRule type="cellIs" dxfId="1153" priority="32" operator="lessThan">
      <formula>0</formula>
    </cfRule>
  </conditionalFormatting>
  <conditionalFormatting sqref="Q61 AF61">
    <cfRule type="cellIs" dxfId="1152" priority="30" operator="greaterThan">
      <formula>1</formula>
    </cfRule>
    <cfRule type="cellIs" dxfId="1151" priority="31" operator="lessThan">
      <formula>0.8</formula>
    </cfRule>
  </conditionalFormatting>
  <conditionalFormatting sqref="R61 AG61">
    <cfRule type="cellIs" dxfId="1150" priority="33" operator="lessThan">
      <formula>0.8</formula>
    </cfRule>
  </conditionalFormatting>
  <conditionalFormatting sqref="O71">
    <cfRule type="cellIs" dxfId="1149" priority="24" operator="greaterThan">
      <formula>0</formula>
    </cfRule>
  </conditionalFormatting>
  <conditionalFormatting sqref="P71">
    <cfRule type="cellIs" dxfId="1148" priority="27" operator="lessThan">
      <formula>0</formula>
    </cfRule>
  </conditionalFormatting>
  <conditionalFormatting sqref="Q71">
    <cfRule type="cellIs" dxfId="1147" priority="25" operator="greaterThan">
      <formula>1</formula>
    </cfRule>
    <cfRule type="cellIs" dxfId="1146" priority="26" operator="lessThan">
      <formula>0.8</formula>
    </cfRule>
  </conditionalFormatting>
  <conditionalFormatting sqref="R71">
    <cfRule type="cellIs" dxfId="1145" priority="28" operator="lessThan">
      <formula>0.8</formula>
    </cfRule>
  </conditionalFormatting>
  <conditionalFormatting sqref="O19">
    <cfRule type="cellIs" dxfId="1144" priority="19" operator="greaterThan">
      <formula>0</formula>
    </cfRule>
  </conditionalFormatting>
  <conditionalFormatting sqref="P19">
    <cfRule type="cellIs" dxfId="1143" priority="22" operator="lessThan">
      <formula>0</formula>
    </cfRule>
  </conditionalFormatting>
  <conditionalFormatting sqref="Q19">
    <cfRule type="cellIs" dxfId="1142" priority="20" operator="greaterThan">
      <formula>1</formula>
    </cfRule>
    <cfRule type="cellIs" dxfId="1141" priority="21" operator="lessThan">
      <formula>0.8</formula>
    </cfRule>
  </conditionalFormatting>
  <conditionalFormatting sqref="R19 AG19">
    <cfRule type="cellIs" dxfId="1140" priority="23" operator="lessThan">
      <formula>0.8</formula>
    </cfRule>
  </conditionalFormatting>
  <conditionalFormatting sqref="O60">
    <cfRule type="cellIs" dxfId="1139" priority="14" operator="greaterThan">
      <formula>0</formula>
    </cfRule>
  </conditionalFormatting>
  <conditionalFormatting sqref="P60 AE60">
    <cfRule type="cellIs" dxfId="1138" priority="17" operator="lessThan">
      <formula>0</formula>
    </cfRule>
  </conditionalFormatting>
  <conditionalFormatting sqref="Q60 AF60">
    <cfRule type="cellIs" dxfId="1137" priority="15" operator="greaterThan">
      <formula>1</formula>
    </cfRule>
    <cfRule type="cellIs" dxfId="1136" priority="16" operator="lessThan">
      <formula>0.8</formula>
    </cfRule>
  </conditionalFormatting>
  <conditionalFormatting sqref="R60 AG60">
    <cfRule type="cellIs" dxfId="1135" priority="18" operator="lessThan">
      <formula>0.8</formula>
    </cfRule>
  </conditionalFormatting>
  <conditionalFormatting sqref="P8">
    <cfRule type="cellIs" dxfId="1134" priority="13" operator="lessThan">
      <formula>0</formula>
    </cfRule>
  </conditionalFormatting>
  <conditionalFormatting sqref="P20">
    <cfRule type="cellIs" dxfId="1133" priority="12" operator="lessThan">
      <formula>0</formula>
    </cfRule>
  </conditionalFormatting>
  <conditionalFormatting sqref="P27">
    <cfRule type="cellIs" dxfId="1132" priority="11" operator="lessThan">
      <formula>0</formula>
    </cfRule>
  </conditionalFormatting>
  <conditionalFormatting sqref="P36">
    <cfRule type="cellIs" dxfId="1131" priority="10" operator="lessThan">
      <formula>0</formula>
    </cfRule>
  </conditionalFormatting>
  <conditionalFormatting sqref="P50">
    <cfRule type="cellIs" dxfId="1130" priority="9" operator="lessThan">
      <formula>0</formula>
    </cfRule>
  </conditionalFormatting>
  <conditionalFormatting sqref="P58">
    <cfRule type="cellIs" dxfId="1129" priority="8" operator="lessThan">
      <formula>0</formula>
    </cfRule>
  </conditionalFormatting>
  <conditionalFormatting sqref="P64">
    <cfRule type="cellIs" dxfId="1128" priority="7" operator="lessThan">
      <formula>0</formula>
    </cfRule>
  </conditionalFormatting>
  <conditionalFormatting sqref="P73">
    <cfRule type="cellIs" dxfId="1127" priority="6" operator="lessThan">
      <formula>0</formula>
    </cfRule>
  </conditionalFormatting>
  <conditionalFormatting sqref="O72">
    <cfRule type="cellIs" dxfId="1126" priority="1" operator="greaterThan">
      <formula>0</formula>
    </cfRule>
  </conditionalFormatting>
  <conditionalFormatting sqref="P72">
    <cfRule type="cellIs" dxfId="1125" priority="4" operator="lessThan">
      <formula>0</formula>
    </cfRule>
  </conditionalFormatting>
  <conditionalFormatting sqref="Q72">
    <cfRule type="cellIs" dxfId="1124" priority="2" operator="greaterThan">
      <formula>1</formula>
    </cfRule>
    <cfRule type="cellIs" dxfId="1123" priority="3" operator="lessThan">
      <formula>0.8</formula>
    </cfRule>
  </conditionalFormatting>
  <conditionalFormatting sqref="R72">
    <cfRule type="cellIs" dxfId="1122" priority="5" operator="lessThan">
      <formula>0.8</formula>
    </cfRule>
  </conditionalFormatting>
  <dataValidations count="1">
    <dataValidation type="list" allowBlank="1" showInputMessage="1" showErrorMessage="1" sqref="AB8 AA5:AB7 AB63 AA8:AA63 AB10:AB59 AA64:AB7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X75" sqref="X75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1903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1904</v>
      </c>
      <c r="C3" s="555" t="str">
        <f>TEXT('0519 4度C'!A2,"yyyy.mm.ddaaaa")</f>
        <v>2026.05.19星期二</v>
      </c>
      <c r="D3" s="556"/>
      <c r="E3" s="54" t="s">
        <v>1905</v>
      </c>
      <c r="F3" s="557">
        <f>'0519 4度C'!D1</f>
        <v>198307</v>
      </c>
      <c r="G3" s="558"/>
      <c r="H3" s="54" t="s">
        <v>1906</v>
      </c>
      <c r="I3" s="559">
        <f>'0519 4度C'!F1</f>
        <v>6668522.6700000018</v>
      </c>
      <c r="J3" s="560"/>
      <c r="K3" s="55"/>
      <c r="L3" s="56"/>
      <c r="M3" s="57"/>
      <c r="N3" s="57"/>
    </row>
    <row r="4" spans="2:17" ht="28.5" customHeight="1">
      <c r="B4" s="561" t="s">
        <v>1907</v>
      </c>
      <c r="C4" s="547" t="s">
        <v>1908</v>
      </c>
      <c r="D4" s="548"/>
      <c r="E4" s="564" t="s">
        <v>1909</v>
      </c>
      <c r="F4" s="565"/>
      <c r="G4" s="564" t="s">
        <v>1910</v>
      </c>
      <c r="H4" s="565"/>
      <c r="I4" s="564" t="s">
        <v>1911</v>
      </c>
      <c r="J4" s="565"/>
      <c r="K4" s="545" t="s">
        <v>1912</v>
      </c>
      <c r="L4" s="546"/>
      <c r="M4" s="546" t="s">
        <v>1913</v>
      </c>
      <c r="N4" s="546"/>
    </row>
    <row r="5" spans="2:17" ht="28.5" customHeight="1">
      <c r="B5" s="562"/>
      <c r="C5" s="547" t="s">
        <v>1914</v>
      </c>
      <c r="D5" s="548"/>
      <c r="E5" s="547" t="s">
        <v>1915</v>
      </c>
      <c r="F5" s="548"/>
      <c r="G5" s="549" t="s">
        <v>1916</v>
      </c>
      <c r="H5" s="550"/>
      <c r="I5" s="551" t="s">
        <v>737</v>
      </c>
      <c r="J5" s="552"/>
      <c r="K5" s="58" t="s">
        <v>1917</v>
      </c>
      <c r="L5" s="59" t="s">
        <v>1918</v>
      </c>
      <c r="M5" s="58" t="s">
        <v>1917</v>
      </c>
      <c r="N5" s="59" t="s">
        <v>1919</v>
      </c>
    </row>
    <row r="6" spans="2:17" ht="28.5" customHeight="1">
      <c r="B6" s="562"/>
      <c r="C6" s="547" t="s">
        <v>145</v>
      </c>
      <c r="D6" s="548"/>
      <c r="E6" s="539">
        <f>AVERAGE(D13:M13)</f>
        <v>153.4160064312305</v>
      </c>
      <c r="F6" s="540">
        <f>AVERAGE(D31:O31,D13:J13)</f>
        <v>159.23748988466903</v>
      </c>
      <c r="G6" s="541">
        <f>AVERAGE(D13:J13)</f>
        <v>159.23748988466903</v>
      </c>
      <c r="H6" s="542"/>
      <c r="I6" s="541">
        <f>AVERAGE(K13:M13)</f>
        <v>139.83254503987391</v>
      </c>
      <c r="J6" s="542"/>
      <c r="K6" s="543">
        <f>'0519 4度C'!Y2</f>
        <v>0</v>
      </c>
      <c r="L6" s="528">
        <f>'0519 4度C'!Z2</f>
        <v>0</v>
      </c>
      <c r="M6" s="544">
        <f>'0519 4度C'!AC2</f>
        <v>61</v>
      </c>
      <c r="N6" s="528">
        <f>'0519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146.82515609653132</v>
      </c>
      <c r="F7" s="532">
        <f>AVERAGE(D32:O32,D14:J14)</f>
        <v>152.42830628330532</v>
      </c>
      <c r="G7" s="533">
        <f>AVERAGE(D14:J14)</f>
        <v>152.42830628330532</v>
      </c>
      <c r="H7" s="534"/>
      <c r="I7" s="533">
        <f>AVERAGE(K14:M14)</f>
        <v>133.75113899405869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0.95689250174546903</v>
      </c>
      <c r="F8" s="536">
        <f>AVERAGE(D15:J15,D33:O33)</f>
        <v>0.95702479477462565</v>
      </c>
      <c r="G8" s="537">
        <f>AVERAGE(D15:J15)</f>
        <v>0.95702479477462565</v>
      </c>
      <c r="H8" s="538"/>
      <c r="I8" s="537">
        <f>AVERAGE(K15:M15)</f>
        <v>0.95658381801077008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1920</v>
      </c>
      <c r="N9" s="57"/>
      <c r="O9" s="57"/>
      <c r="P9" s="57"/>
      <c r="Q9" s="57"/>
    </row>
    <row r="10" spans="2:17" ht="30" customHeight="1">
      <c r="B10" s="511" t="s">
        <v>1921</v>
      </c>
      <c r="C10" s="512"/>
      <c r="D10" s="513" t="s">
        <v>1922</v>
      </c>
      <c r="E10" s="514"/>
      <c r="F10" s="514"/>
      <c r="G10" s="514"/>
      <c r="H10" s="514"/>
      <c r="I10" s="514"/>
      <c r="J10" s="515"/>
      <c r="K10" s="516" t="s">
        <v>1923</v>
      </c>
      <c r="L10" s="517"/>
      <c r="M10" s="518"/>
      <c r="P10" s="63"/>
      <c r="Q10" s="63"/>
    </row>
    <row r="11" spans="2:17" ht="17.25" customHeight="1">
      <c r="B11" s="519" t="s">
        <v>1924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1925</v>
      </c>
      <c r="C13" s="70" t="s">
        <v>1926</v>
      </c>
      <c r="D13" s="71">
        <f>SUMIFS('0519 4度C'!$K:$K,'0519 4度C'!$A:$A,"新豐6線",'0519 4度C'!$B:$B,"平均")</f>
        <v>125</v>
      </c>
      <c r="E13" s="72">
        <f>SUMIFS('0519 4度C'!$K:$K,'0519 4度C'!$A:$A,"新豐2線",'0519 4度C'!$B:$B,"平均")</f>
        <v>86.538461538461547</v>
      </c>
      <c r="F13" s="73">
        <f>SUMIFS('0519 4度C'!$K:$K,'0519 4度C'!$A:$A,"新豐5線",'0519 4度C'!$B:$B,"平均")</f>
        <v>98.666666666666671</v>
      </c>
      <c r="G13" s="73">
        <f>SUMIFS('0519 4度C'!$K:$K,'0519 4度C'!$A:$A,"新豐7線",'0519 4度C'!$B:$B,"平均")</f>
        <v>121.05263157894737</v>
      </c>
      <c r="H13" s="73">
        <f>SUMIFS('0519 4度C'!$K:$K,'0519 4度C'!$A:$A,"新豐3線",'0519 4度C'!$B:$B,"平均")</f>
        <v>255.81395348837211</v>
      </c>
      <c r="I13" s="73">
        <f>SUMIFS('0519 4度C'!$K:$K,'0519 4度C'!$A:$A,"新豐1線",'0519 4度C'!$B:$B,"平均")</f>
        <v>111.80124223602485</v>
      </c>
      <c r="J13" s="74">
        <f>SUMIFS('0519 4度C'!$K:$K,'0519 4度C'!$A:$A,"新豐10線",'0519 4度C'!$B:$B,"平均")</f>
        <v>315.78947368421052</v>
      </c>
      <c r="K13" s="75">
        <f>SUMIFS('0519 4度C'!$K:$K,'0519 4度C'!$A:$A,"新豐8線",'0519 4度C'!$B:$B,"平均")</f>
        <v>137.70491803278691</v>
      </c>
      <c r="L13" s="76">
        <f>SUMIFS('0519 4度C'!$K:$K,'0519 4度C'!$A:$A,"新豐9線",'0519 4度C'!$B:$B,"平均")</f>
        <v>129.41176470588235</v>
      </c>
      <c r="M13" s="74">
        <f>SUMIFS('0519 4度C'!$K:$K,'0519 4度C'!$A:$A,"新豐4線",'0519 4度C'!$B:$B,"平均")</f>
        <v>152.38095238095238</v>
      </c>
    </row>
    <row r="14" spans="2:17" ht="39.6" customHeight="1">
      <c r="B14" s="524"/>
      <c r="C14" s="77" t="s">
        <v>1927</v>
      </c>
      <c r="D14" s="78">
        <f>SUMIFS('0519 4度C'!$N:$N,'0519 4度C'!$A:$A,"新豐6線",'0519 4度C'!$B:$B,"平均")</f>
        <v>120.06076388888893</v>
      </c>
      <c r="E14" s="79">
        <f>SUMIFS('0519 4度C'!$N:$N,'0519 4度C'!$A:$A,"新豐2線",'0519 4度C'!$B:$B,"平均")</f>
        <v>82.638299561811053</v>
      </c>
      <c r="F14" s="79">
        <f>SUMIFS('0519 4度C'!$N:$N,'0519 4度C'!$A:$A,"新豐5線",'0519 4度C'!$B:$B,"平均")</f>
        <v>94.377722173800606</v>
      </c>
      <c r="G14" s="79">
        <f>SUMIFS('0519 4度C'!$N:$N,'0519 4度C'!$A:$A,"新豐7線",'0519 4度C'!$B:$B,"平均")</f>
        <v>115.67141316584883</v>
      </c>
      <c r="H14" s="79">
        <f>SUMIFS('0519 4度C'!$N:$N,'0519 4度C'!$A:$A,"新豐3線",'0519 4度C'!$B:$B,"平均")</f>
        <v>244.09116219203253</v>
      </c>
      <c r="I14" s="79">
        <f>SUMIFS('0519 4度C'!$N:$N,'0519 4度C'!$A:$A,"新豐1線",'0519 4度C'!$B:$B,"平均")</f>
        <v>107.07713253339151</v>
      </c>
      <c r="J14" s="80">
        <f>SUMIFS('0519 4度C'!$N:$N,'0519 4度C'!$A:$A,"新豐10線",'0519 4度C'!$B:$B,"平均")</f>
        <v>303.0816504673636</v>
      </c>
      <c r="K14" s="81">
        <f>SUMIFS('0519 4度C'!$N:$N,'0519 4度C'!$A:$A,"新豐8線",'0519 4度C'!$B:$B,"平均")</f>
        <v>131.61762544706733</v>
      </c>
      <c r="L14" s="82">
        <f>SUMIFS('0519 4度C'!$N:$N,'0519 4度C'!$A:$A,"新豐9線",'0519 4度C'!$B:$B,"平均")</f>
        <v>124.03442123578861</v>
      </c>
      <c r="M14" s="80">
        <f>SUMIFS('0519 4度C'!$N:$N,'0519 4度C'!$A:$A,"新豐4線",'0519 4度C'!$B:$B,"平均")</f>
        <v>145.60137029932011</v>
      </c>
    </row>
    <row r="15" spans="2:17" ht="40.15" customHeight="1">
      <c r="B15" s="525"/>
      <c r="C15" s="83" t="s">
        <v>1928</v>
      </c>
      <c r="D15" s="84">
        <f t="shared" ref="D15:M15" si="0">D14/D13</f>
        <v>0.96048611111111137</v>
      </c>
      <c r="E15" s="85">
        <f t="shared" si="0"/>
        <v>0.9549314616031499</v>
      </c>
      <c r="F15" s="85">
        <f t="shared" si="0"/>
        <v>0.95653096797770876</v>
      </c>
      <c r="G15" s="85">
        <f t="shared" si="0"/>
        <v>0.95554645658744686</v>
      </c>
      <c r="H15" s="85">
        <f t="shared" si="0"/>
        <v>0.95417454311430894</v>
      </c>
      <c r="I15" s="85">
        <f t="shared" si="0"/>
        <v>0.95774546321533516</v>
      </c>
      <c r="J15" s="86">
        <f t="shared" si="0"/>
        <v>0.95975855981331804</v>
      </c>
      <c r="K15" s="84">
        <f t="shared" si="0"/>
        <v>0.95579466098465538</v>
      </c>
      <c r="L15" s="85">
        <f t="shared" si="0"/>
        <v>0.95844780045836664</v>
      </c>
      <c r="M15" s="86">
        <f t="shared" si="0"/>
        <v>0.95550899258928823</v>
      </c>
    </row>
    <row r="16" spans="2:17" ht="17.25" customHeight="1">
      <c r="B16" s="526" t="s">
        <v>748</v>
      </c>
      <c r="C16" s="87" t="s">
        <v>1929</v>
      </c>
      <c r="D16" s="88">
        <f>VLOOKUP("新豐6線",'0519 4度C'!$A:$T,19,0)</f>
        <v>0.70833333333333337</v>
      </c>
      <c r="E16" s="89">
        <f>VLOOKUP("新豐2線",'0519 4度C'!$A:$T,19,0)</f>
        <v>8.3333333333333329E-2</v>
      </c>
      <c r="F16" s="89">
        <f>VLOOKUP("新豐5線",'0519 4度C'!$A:$T,19,0)</f>
        <v>0.20833333333333334</v>
      </c>
      <c r="G16" s="89">
        <f>VLOOKUP("新豐7線",'0519 4度C'!$A:$T,19,0)</f>
        <v>0.20833333333333334</v>
      </c>
      <c r="H16" s="89">
        <f>VLOOKUP("新豐3線",'0519 4度C'!$A:$T,19,0)</f>
        <v>8.3333333333333329E-2</v>
      </c>
      <c r="I16" s="89">
        <f>VLOOKUP("新豐1線",'0519 4度C'!$A:$T,19,0)</f>
        <v>0.20833333333333334</v>
      </c>
      <c r="J16" s="90">
        <f>VLOOKUP("新豐10線",'0519 4度C'!$A:$T,19,0)</f>
        <v>0.20833333333333334</v>
      </c>
      <c r="K16" s="91">
        <f>VLOOKUP("新豐8線",'0519 4度C'!$A:$T,19,0)</f>
        <v>8.3333333333333329E-2</v>
      </c>
      <c r="L16" s="92">
        <f>VLOOKUP("新豐9線",'0519 4度C'!$A:$T,19,0)</f>
        <v>8.3333333333333329E-2</v>
      </c>
      <c r="M16" s="93">
        <f>VLOOKUP("新豐4線",'0519 4度C'!$A:$T,19,0)</f>
        <v>8.3333333333333329E-2</v>
      </c>
    </row>
    <row r="17" spans="2:13" ht="17.25" customHeight="1">
      <c r="B17" s="527"/>
      <c r="C17" s="87" t="s">
        <v>1457</v>
      </c>
      <c r="D17" s="91">
        <f>LOOKUP(2,1/(('0519 4度C'!$A:$A="新豐6線")*('0519 4度C'!$T:$T&lt;&gt;"")),'0519 4度C'!$T:$T)</f>
        <v>0.82499999999999996</v>
      </c>
      <c r="E17" s="89">
        <f>LOOKUP(2,1/(('0519 4度C'!$A:$A="新豐2線")*('0519 4度C'!$T:$T&lt;&gt;"")),'0519 4度C'!$T:$T)</f>
        <v>0.78611111111111109</v>
      </c>
      <c r="F17" s="89">
        <f>LOOKUP(2,1/(('0519 4度C'!$A:$A="新豐5線")*('0519 4度C'!$T:$T&lt;&gt;"")),'0519 4度C'!$T:$T)</f>
        <v>0.80138888888888893</v>
      </c>
      <c r="G17" s="89">
        <f>LOOKUP(2,1/(('0519 4度C'!$A:$A="新豐7線")*('0519 4度C'!$T:$T&lt;&gt;"")),'0519 4度C'!$T:$T)</f>
        <v>0.81597222222222221</v>
      </c>
      <c r="H17" s="89">
        <f>LOOKUP(2,1/(('0519 4度C'!$A:$A="新豐3線")*('0519 4度C'!$T:$T&lt;&gt;"")),'0519 4度C'!$T:$T)</f>
        <v>0.44097222222222215</v>
      </c>
      <c r="I17" s="89">
        <f>LOOKUP(2,1/(('0519 4度C'!$A:$A="新豐1線")*('0519 4度C'!$T:$T&lt;&gt;"")),'0519 4度C'!$T:$T)</f>
        <v>0.92986111111111114</v>
      </c>
      <c r="J17" s="90">
        <f>LOOKUP(2,1/(('0519 4度C'!$A:$A="新豐10線")*('0519 4度C'!$T:$T&lt;&gt;"")),'0519 4度C'!$T:$T)</f>
        <v>0.42986111111111108</v>
      </c>
      <c r="K17" s="88">
        <f>LOOKUP(2,1/(('0519 4度C'!$A:$A="新豐8線")*('0519 4度C'!$T:$T&lt;&gt;"")),'0519 4度C'!$T:$T)</f>
        <v>0.71458333333333324</v>
      </c>
      <c r="L17" s="89">
        <f>LOOKUP(2,1/(('0519 4度C'!$A:$A="新豐9線")*('0519 4度C'!$T:$T&lt;&gt;"")),'0519 4度C'!$T:$T)</f>
        <v>0.7402777777777777</v>
      </c>
      <c r="M17" s="90">
        <f>LOOKUP(2,1/(('0519 4度C'!$A:$A="新豐4線")*('0519 4度C'!$T:$T&lt;&gt;"")),'0519 4度C'!$T:$T)</f>
        <v>0.67847222222222214</v>
      </c>
    </row>
    <row r="18" spans="2:13" ht="17.25" customHeight="1">
      <c r="B18" s="505" t="s">
        <v>1930</v>
      </c>
      <c r="C18" s="94" t="s">
        <v>1931</v>
      </c>
      <c r="D18" s="95">
        <f>SUMIFS('0519 4度C'!$Y:$Y,'0519 4度C'!$A:$A,"新豐6線",'0519 4度C'!$B:$B,"平均")</f>
        <v>0</v>
      </c>
      <c r="E18" s="96">
        <f>SUMIFS('0519 4度C'!$Y:$Y,'0519 4度C'!$A:$A,"新豐2線",'0519 4度C'!$B:$B,"平均")</f>
        <v>0</v>
      </c>
      <c r="F18" s="96">
        <f>SUMIFS('0519 4度C'!$Y:$Y,'0519 4度C'!$A:$A,"新豐5線",'0519 4度C'!$B:$B,"平均")</f>
        <v>0</v>
      </c>
      <c r="G18" s="96">
        <f>SUMIFS('0519 4度C'!$Y:$Y,'0519 4度C'!$A:$A,"新豐7線",'0519 4度C'!$B:$B,"平均")</f>
        <v>0</v>
      </c>
      <c r="H18" s="96">
        <f>SUMIFS('0519 4度C'!$Y:$Y,'0519 4度C'!$A:$A,"新豐3線",'0519 4度C'!$B:$B,"平均")</f>
        <v>0</v>
      </c>
      <c r="I18" s="96">
        <f>SUMIFS('0519 4度C'!$Y:$Y,'0519 4度C'!$A:$A,"新豐1線",'0519 4度C'!$B:$B,"平均")</f>
        <v>0</v>
      </c>
      <c r="J18" s="97">
        <f>SUMIFS('0519 4度C'!$Y:$Y,'0519 4度C'!$A:$A,"新豐10線",'0519 4度C'!$B:$B,"平均")</f>
        <v>0</v>
      </c>
      <c r="K18" s="98">
        <f>SUMIFS('0519 4度C'!$Y:$Y,'0519 4度C'!$A:$A,"新豐8線",'0519 4度C'!$B:$B,"平均")</f>
        <v>0</v>
      </c>
      <c r="L18" s="96">
        <f>SUMIFS('0519 4度C'!$Y:$Y,'0519 4度C'!$A:$A,"新豐9線",'0519 4度C'!$B:$B,"平均")</f>
        <v>0</v>
      </c>
      <c r="M18" s="97">
        <f>SUMIFS('0519 4度C'!$Y:$Y,'0519 4度C'!$A:$A,"新豐4線",'0519 4度C'!$B:$B,"平均")</f>
        <v>0</v>
      </c>
    </row>
    <row r="19" spans="2:13" ht="17.25" customHeight="1">
      <c r="B19" s="506"/>
      <c r="C19" s="94" t="s">
        <v>1932</v>
      </c>
      <c r="D19" s="95">
        <f>SUMIFS('0519 4度C'!$Z:$Z,'0519 4度C'!$A:$A,"新豐6線",'0519 4度C'!$B:$B,"平均")</f>
        <v>0</v>
      </c>
      <c r="E19" s="96">
        <f>SUMIFS('0519 4度C'!$Z:$Z,'0519 4度C'!$A:$A,"新豐2線",'0519 4度C'!$B:$B,"平均")</f>
        <v>0</v>
      </c>
      <c r="F19" s="96">
        <f>SUMIFS('0519 4度C'!$Z:$Z,'0519 4度C'!$A:$A,"新豐5線",'0519 4度C'!$B:$B,"平均")</f>
        <v>0</v>
      </c>
      <c r="G19" s="96">
        <f>SUMIFS('0519 4度C'!$Z:$Z,'0519 4度C'!$A:$A,"新豐7線",'0519 4度C'!$B:$B,"平均")</f>
        <v>0</v>
      </c>
      <c r="H19" s="96">
        <f>SUMIFS('0519 4度C'!$Z:$Z,'0519 4度C'!$A:$A,"新豐3線",'0519 4度C'!$B:$B,"平均")</f>
        <v>0</v>
      </c>
      <c r="I19" s="96">
        <f>SUMIFS('0519 4度C'!$Z:$Z,'0519 4度C'!$A:$A,"新豐1線",'0519 4度C'!$B:$B,"平均")</f>
        <v>0</v>
      </c>
      <c r="J19" s="97">
        <f>SUMIFS('0519 4度C'!$Z:$Z,'0519 4度C'!$A:$A,"新豐10線",'0519 4度C'!$B:$B,"平均")</f>
        <v>0</v>
      </c>
      <c r="K19" s="98">
        <f>SUMIFS('0519 4度C'!$Z:$Z,'0519 4度C'!$A:$A,"新豐8線",'0519 4度C'!$B:$B,"平均")</f>
        <v>0</v>
      </c>
      <c r="L19" s="96">
        <f>SUMIFS('0519 4度C'!$Z:$Z,'0519 4度C'!$A:$A,"新豐9線",'0519 4度C'!$B:$B,"平均")</f>
        <v>0</v>
      </c>
      <c r="M19" s="97">
        <f>SUMIFS('0519 4度C'!$Z:$Z,'0519 4度C'!$A:$A,"新豐4線",'0519 4度C'!$B:$B,"平均")</f>
        <v>0</v>
      </c>
    </row>
    <row r="20" spans="2:13" ht="17.25" customHeight="1">
      <c r="B20" s="505" t="s">
        <v>1933</v>
      </c>
      <c r="C20" s="94" t="s">
        <v>1931</v>
      </c>
      <c r="D20" s="95">
        <f>SUMIFS('0519 4度C'!$AC:$AC,'0519 4度C'!$A:$A,"新豐6線",'0519 4度C'!$B:$B,"平均")</f>
        <v>3</v>
      </c>
      <c r="E20" s="96">
        <f>SUMIFS('0519 4度C'!$AC:$AC,'0519 4度C'!$A:$A,"新豐2線",'0519 4度C'!$B:$B,"平均")</f>
        <v>6</v>
      </c>
      <c r="F20" s="96">
        <f>SUMIFS('0519 4度C'!$AC:$AC,'0519 4度C'!$A:$A,"新豐5線",'0519 4度C'!$B:$B,"平均")</f>
        <v>4</v>
      </c>
      <c r="G20" s="96">
        <f>SUMIFS('0519 4度C'!$AC:$AC,'0519 4度C'!$A:$A,"新豐7線",'0519 4度C'!$B:$B,"平均")</f>
        <v>6</v>
      </c>
      <c r="H20" s="96">
        <f>SUMIFS('0519 4度C'!$AC:$AC,'0519 4度C'!$A:$A,"新豐3線",'0519 4度C'!$B:$B,"平均")</f>
        <v>4</v>
      </c>
      <c r="I20" s="96">
        <f>SUMIFS('0519 4度C'!$AC:$AC,'0519 4度C'!$A:$A,"新豐1線",'0519 4度C'!$B:$B,"平均")</f>
        <v>9</v>
      </c>
      <c r="J20" s="97">
        <f>SUMIFS('0519 4度C'!$AC:$AC,'0519 4度C'!$A:$A,"新豐10線",'0519 4度C'!$B:$B,"平均")</f>
        <v>6</v>
      </c>
      <c r="K20" s="98">
        <f>SUMIFS('0519 4度C'!$AC:$AC,'0519 4度C'!$A:$A,"新豐8線",'0519 4度C'!$B:$B,"平均")</f>
        <v>7</v>
      </c>
      <c r="L20" s="96">
        <f>SUMIFS('0519 4度C'!$AC:$AC,'0519 4度C'!$A:$A,"新豐9線",'0519 4度C'!$B:$B,"平均")</f>
        <v>8</v>
      </c>
      <c r="M20" s="97">
        <f>SUMIFS('0519 4度C'!$AC:$AC,'0519 4度C'!$A:$A,"新豐4線",'0519 4度C'!$B:$B,"平均")</f>
        <v>8</v>
      </c>
    </row>
    <row r="21" spans="2:13" ht="17.25" customHeight="1">
      <c r="B21" s="506"/>
      <c r="C21" s="94" t="s">
        <v>1934</v>
      </c>
      <c r="D21" s="95">
        <f>SUMIFS('0519 4度C'!$AD:$AD,'0519 4度C'!$A:$A,"新豐6線",'0519 4度C'!$B:$B,"平均")</f>
        <v>0</v>
      </c>
      <c r="E21" s="96">
        <f>SUMIFS('0519 4度C'!$AD:$AD,'0519 4度C'!$A:$A,"新豐2線",'0519 4度C'!$B:$B,"平均")</f>
        <v>0</v>
      </c>
      <c r="F21" s="96">
        <f>SUMIFS('0519 4度C'!$AD:$AD,'0519 4度C'!$A:$A,"新豐5線",'0519 4度C'!$B:$B,"平均")</f>
        <v>0</v>
      </c>
      <c r="G21" s="96">
        <f>SUMIFS('0519 4度C'!$AD:$AD,'0519 4度C'!$A:$A,"新豐7線",'0519 4度C'!$B:$B,"平均")</f>
        <v>0</v>
      </c>
      <c r="H21" s="96">
        <f>SUMIFS('0519 4度C'!$AD:$AD,'0519 4度C'!$A:$A,"新豐3線",'0519 4度C'!$B:$B,"平均")</f>
        <v>0</v>
      </c>
      <c r="I21" s="96">
        <f>SUMIFS('0519 4度C'!$AD:$AD,'0519 4度C'!$A:$A,"新豐1線",'0519 4度C'!$B:$B,"平均")</f>
        <v>0</v>
      </c>
      <c r="J21" s="97">
        <f>SUMIFS('0519 4度C'!$AD:$AD,'0519 4度C'!$A:$A,"新豐10線",'0519 4度C'!$B:$B,"平均")</f>
        <v>0</v>
      </c>
      <c r="K21" s="98">
        <f>SUMIFS('0519 4度C'!$AD:$AD,'0519 4度C'!$A:$A,"新豐8線",'0519 4度C'!$B:$B,"平均")</f>
        <v>0</v>
      </c>
      <c r="L21" s="96">
        <f>SUMIFS('0519 4度C'!$AD:$AD,'0519 4度C'!$A:$A,"新豐9線",'0519 4度C'!$B:$B,"平均")</f>
        <v>0</v>
      </c>
      <c r="M21" s="97">
        <f>SUMIFS('0519 4度C'!$AD:$AD,'0519 4度C'!$A:$A,"新豐4線",'0519 4度C'!$B:$B,"平均")</f>
        <v>0</v>
      </c>
    </row>
    <row r="22" spans="2:13" ht="17.25" customHeight="1">
      <c r="B22" s="507" t="s">
        <v>1935</v>
      </c>
      <c r="C22" s="508"/>
      <c r="D22" s="99">
        <f>SUMIFS('0519 4度C'!$I:$I,'0519 4度C'!$A:$A,"新豐6線",'0519 4度C'!$B:$B,"平均")</f>
        <v>16</v>
      </c>
      <c r="E22" s="100">
        <f>SUMIFS('0519 4度C'!$I:$I,'0519 4度C'!$A:$A,"新豐2線",'0519 4度C'!$B:$B,"平均")</f>
        <v>17.333333333333332</v>
      </c>
      <c r="F22" s="100">
        <f>SUMIFS('0519 4度C'!$I:$I,'0519 4度C'!$A:$A,"新豐5線",'0519 4度C'!$B:$B,"平均")</f>
        <v>18.75</v>
      </c>
      <c r="G22" s="100">
        <f>SUMIFS('0519 4度C'!$I:$I,'0519 4度C'!$A:$A,"新豐7線",'0519 4度C'!$B:$B,"平均")</f>
        <v>15.833333333333334</v>
      </c>
      <c r="H22" s="100">
        <f>SUMIFS('0519 4度C'!$I:$I,'0519 4度C'!$A:$A,"新豐3線",'0519 4度C'!$B:$B,"平均")</f>
        <v>10.75</v>
      </c>
      <c r="I22" s="100">
        <f>SUMIFS('0519 4度C'!$I:$I,'0519 4度C'!$A:$A,"新豐1線",'0519 4度C'!$B:$B,"平均")</f>
        <v>17.888888888888889</v>
      </c>
      <c r="J22" s="101">
        <f>SUMIFS('0519 4度C'!$I:$I,'0519 4度C'!$A:$A,"新豐10線",'0519 4度C'!$B:$B,"平均")</f>
        <v>9.5</v>
      </c>
      <c r="K22" s="99">
        <f>SUMIFS('0519 4度C'!$I:$I,'0519 4度C'!$A:$A,"新豐8線",'0519 4度C'!$B:$B,"平均")</f>
        <v>17.428571428571427</v>
      </c>
      <c r="L22" s="100">
        <f>SUMIFS('0519 4度C'!$I:$I,'0519 4度C'!$A:$A,"新豐9線",'0519 4度C'!$B:$B,"平均")</f>
        <v>17</v>
      </c>
      <c r="M22" s="101">
        <f>SUMIFS('0519 4度C'!$I:$I,'0519 4度C'!$A:$A,"新豐4線",'0519 4度C'!$B:$B,"平均")</f>
        <v>15.75</v>
      </c>
    </row>
    <row r="23" spans="2:13" ht="17.25" customHeight="1">
      <c r="B23" s="507" t="s">
        <v>1936</v>
      </c>
      <c r="C23" s="508"/>
      <c r="D23" s="102" t="s">
        <v>177</v>
      </c>
      <c r="E23" s="103" t="s">
        <v>178</v>
      </c>
      <c r="F23" s="103" t="s">
        <v>757</v>
      </c>
      <c r="G23" s="103" t="s">
        <v>1937</v>
      </c>
      <c r="H23" s="103" t="s">
        <v>180</v>
      </c>
      <c r="I23" s="103" t="s">
        <v>177</v>
      </c>
      <c r="J23" s="104" t="s">
        <v>180</v>
      </c>
      <c r="K23" s="102" t="s">
        <v>1938</v>
      </c>
      <c r="L23" s="103" t="s">
        <v>1939</v>
      </c>
      <c r="M23" s="104" t="s">
        <v>849</v>
      </c>
    </row>
    <row r="24" spans="2:13" ht="17.25" customHeight="1">
      <c r="B24" s="507" t="s">
        <v>1940</v>
      </c>
      <c r="C24" s="508"/>
      <c r="D24" s="102"/>
      <c r="E24" s="103"/>
      <c r="F24" s="103" t="s">
        <v>1941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1942</v>
      </c>
      <c r="C25" s="510"/>
      <c r="D25" s="105"/>
      <c r="E25" s="106" t="s">
        <v>1943</v>
      </c>
      <c r="F25" s="503" t="s">
        <v>1944</v>
      </c>
      <c r="G25" s="504"/>
      <c r="H25" s="106" t="s">
        <v>1945</v>
      </c>
      <c r="I25" s="106" t="s">
        <v>1946</v>
      </c>
      <c r="J25" s="107" t="s">
        <v>1947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12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activeCell="J13" sqref="J13"/>
      <selection pane="bottomLeft" activeCell="X75" sqref="X7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SUM(F5:F75)</f>
        <v>198307</v>
      </c>
      <c r="E1" s="330" t="s">
        <v>2</v>
      </c>
      <c r="F1" s="1">
        <f>SUM(G5:G75)</f>
        <v>6668522.6700000018</v>
      </c>
      <c r="G1" s="1" t="s">
        <v>3</v>
      </c>
      <c r="H1" s="5">
        <f>L8+L15+L49+L59+L20+L66+L35+L44+L27+L75</f>
        <v>156.23412698412699</v>
      </c>
      <c r="I1" s="617" t="s">
        <v>4</v>
      </c>
      <c r="J1" s="617"/>
      <c r="K1" s="617"/>
      <c r="L1" s="617" t="s">
        <v>5</v>
      </c>
      <c r="M1" s="617"/>
      <c r="N1" s="617"/>
      <c r="O1" s="617" t="s">
        <v>6</v>
      </c>
      <c r="P1" s="617"/>
      <c r="Q1" s="617"/>
      <c r="R1" s="617"/>
      <c r="S1" s="617" t="s">
        <v>477</v>
      </c>
      <c r="T1" s="617"/>
      <c r="U1" s="617"/>
      <c r="V1" s="617"/>
      <c r="W1" s="617"/>
      <c r="X1" s="617"/>
      <c r="Y1" s="6" t="s">
        <v>8</v>
      </c>
      <c r="Z1" s="7" t="s">
        <v>9</v>
      </c>
      <c r="AA1" s="618" t="s">
        <v>479</v>
      </c>
      <c r="AB1" s="618"/>
      <c r="AC1" s="121" t="s">
        <v>8</v>
      </c>
      <c r="AD1" s="7" t="s">
        <v>481</v>
      </c>
      <c r="AE1" s="617" t="s">
        <v>12</v>
      </c>
      <c r="AF1" s="619"/>
      <c r="AG1" s="619"/>
    </row>
    <row r="2" spans="1:33" ht="26.25" customHeight="1">
      <c r="A2" s="37">
        <v>46161</v>
      </c>
      <c r="B2" s="38" t="s">
        <v>527</v>
      </c>
      <c r="C2" s="2" t="s">
        <v>13</v>
      </c>
      <c r="D2" s="10">
        <f>AVERAGE(N8,N15,N49,N59,N20,N66,N27,N35,N44,N75)</f>
        <v>146.82515609653129</v>
      </c>
      <c r="E2" s="11" t="s">
        <v>14</v>
      </c>
      <c r="F2" s="12">
        <f>F1/D1</f>
        <v>33.627268175102252</v>
      </c>
      <c r="G2" s="1" t="s">
        <v>872</v>
      </c>
      <c r="H2" s="336">
        <f>COUNT(H5:H75)</f>
        <v>13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SUM(Y8+Y15+Y20+Y27+Y35+Y44+Y49+Y59+Y66+Y75)</f>
        <v>0</v>
      </c>
      <c r="Z2" s="14">
        <f>SUM(Z8+Z15+Z20+Z27+Z35+Z44+Z49+Z59+Z66+Z75)</f>
        <v>0</v>
      </c>
      <c r="AA2" s="618"/>
      <c r="AB2" s="618"/>
      <c r="AC2" s="122">
        <v>61</v>
      </c>
      <c r="AD2" s="14">
        <f>SUM(AD8+AD15+AD20+AD27+AD35+AD44+AD49+AD59+AD66+AD75)</f>
        <v>0</v>
      </c>
      <c r="AE2" s="619"/>
      <c r="AF2" s="619"/>
      <c r="AG2" s="619"/>
    </row>
    <row r="3" spans="1:33" ht="40.5" customHeight="1">
      <c r="A3" s="575" t="s">
        <v>16</v>
      </c>
      <c r="B3" s="575" t="s">
        <v>874</v>
      </c>
      <c r="C3" s="575" t="s">
        <v>488</v>
      </c>
      <c r="D3" s="575"/>
      <c r="E3" s="615" t="s">
        <v>876</v>
      </c>
      <c r="F3" s="575" t="s">
        <v>20</v>
      </c>
      <c r="G3" s="615" t="s">
        <v>21</v>
      </c>
      <c r="H3" s="608" t="s">
        <v>491</v>
      </c>
      <c r="I3" s="606" t="s">
        <v>492</v>
      </c>
      <c r="J3" s="603" t="s">
        <v>24</v>
      </c>
      <c r="K3" s="613" t="s">
        <v>13</v>
      </c>
      <c r="L3" s="606" t="s">
        <v>492</v>
      </c>
      <c r="M3" s="603" t="s">
        <v>24</v>
      </c>
      <c r="N3" s="613" t="s">
        <v>13</v>
      </c>
      <c r="O3" s="606" t="s">
        <v>492</v>
      </c>
      <c r="P3" s="613" t="s">
        <v>13</v>
      </c>
      <c r="Q3" s="604" t="s">
        <v>35</v>
      </c>
      <c r="R3" s="582" t="s">
        <v>497</v>
      </c>
      <c r="S3" s="614" t="s">
        <v>28</v>
      </c>
      <c r="T3" s="614"/>
      <c r="U3" s="608" t="s">
        <v>29</v>
      </c>
      <c r="V3" s="608" t="s">
        <v>30</v>
      </c>
      <c r="W3" s="575" t="s">
        <v>31</v>
      </c>
      <c r="X3" s="575"/>
      <c r="Y3" s="609" t="s">
        <v>32</v>
      </c>
      <c r="Z3" s="572"/>
      <c r="AA3" s="610" t="s">
        <v>501</v>
      </c>
      <c r="AB3" s="611"/>
      <c r="AC3" s="609" t="s">
        <v>502</v>
      </c>
      <c r="AD3" s="572"/>
      <c r="AE3" s="603" t="s">
        <v>24</v>
      </c>
      <c r="AF3" s="604" t="s">
        <v>35</v>
      </c>
      <c r="AG3" s="582" t="s">
        <v>497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335" t="s">
        <v>36</v>
      </c>
      <c r="T4" s="335" t="s">
        <v>37</v>
      </c>
      <c r="U4" s="608"/>
      <c r="V4" s="608"/>
      <c r="W4" s="330" t="s">
        <v>1948</v>
      </c>
      <c r="X4" s="330" t="s">
        <v>1949</v>
      </c>
      <c r="Y4" s="329" t="s">
        <v>40</v>
      </c>
      <c r="Z4" s="329" t="s">
        <v>41</v>
      </c>
      <c r="AA4" s="612"/>
      <c r="AB4" s="611"/>
      <c r="AC4" s="329" t="s">
        <v>1950</v>
      </c>
      <c r="AD4" s="329" t="s">
        <v>43</v>
      </c>
      <c r="AE4" s="603"/>
      <c r="AF4" s="604"/>
      <c r="AG4" s="582"/>
    </row>
    <row r="5" spans="1:33">
      <c r="A5" s="605" t="s">
        <v>1951</v>
      </c>
      <c r="B5" s="39" t="s">
        <v>74</v>
      </c>
      <c r="C5" s="607" t="s">
        <v>75</v>
      </c>
      <c r="D5" s="607"/>
      <c r="E5" s="39">
        <v>50.67</v>
      </c>
      <c r="F5" s="335">
        <v>1549</v>
      </c>
      <c r="G5" s="330">
        <f t="shared" ref="G5:G7" si="0">E5*F5</f>
        <v>78487.83</v>
      </c>
      <c r="H5" s="48" t="s">
        <v>126</v>
      </c>
      <c r="I5" s="333">
        <v>17</v>
      </c>
      <c r="J5" s="43">
        <v>2000</v>
      </c>
      <c r="K5" s="18">
        <f t="shared" ref="K5:K68" si="1">J5/I5</f>
        <v>117.64705882352941</v>
      </c>
      <c r="L5" s="333">
        <v>17</v>
      </c>
      <c r="M5" s="19">
        <f t="shared" ref="M5:M7" si="2">F5/V5*60</f>
        <v>1936.2500000000005</v>
      </c>
      <c r="N5" s="18">
        <f t="shared" ref="N5:N68" si="3">M5/L5</f>
        <v>113.89705882352943</v>
      </c>
      <c r="O5" s="20">
        <f t="shared" ref="O5:O68" si="4">L5-I5</f>
        <v>0</v>
      </c>
      <c r="P5" s="21">
        <f t="shared" ref="P5:P68" si="5">N5-K5</f>
        <v>-3.7499999999999716</v>
      </c>
      <c r="Q5" s="331">
        <f t="shared" ref="Q5:Q68" si="6">N5/K5</f>
        <v>0.96812500000000024</v>
      </c>
      <c r="R5" s="573">
        <f>Q8</f>
        <v>0.96048611111111137</v>
      </c>
      <c r="S5" s="49">
        <v>0.70833333333333337</v>
      </c>
      <c r="T5" s="49">
        <v>0.7416666666666667</v>
      </c>
      <c r="U5" s="330"/>
      <c r="V5" s="334">
        <f t="shared" ref="V5:V7" si="7">(T5-S5)*24*60</f>
        <v>47.999999999999986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58" si="8">M5-J5</f>
        <v>-63.749999999999545</v>
      </c>
      <c r="AF5" s="331">
        <f t="shared" ref="AF5:AF68" si="9">M5/J5</f>
        <v>0.96812500000000024</v>
      </c>
      <c r="AG5" s="573">
        <f>AF8</f>
        <v>0.96048611111111137</v>
      </c>
    </row>
    <row r="6" spans="1:33">
      <c r="A6" s="606" t="s">
        <v>1952</v>
      </c>
      <c r="B6" s="39" t="s">
        <v>74</v>
      </c>
      <c r="C6" s="607" t="s">
        <v>77</v>
      </c>
      <c r="D6" s="607"/>
      <c r="E6" s="39">
        <v>50.67</v>
      </c>
      <c r="F6" s="335">
        <v>1721</v>
      </c>
      <c r="G6" s="330">
        <f t="shared" si="0"/>
        <v>87203.07</v>
      </c>
      <c r="H6" s="48" t="s">
        <v>126</v>
      </c>
      <c r="I6" s="333">
        <v>15</v>
      </c>
      <c r="J6" s="43">
        <v>2000</v>
      </c>
      <c r="K6" s="18">
        <f t="shared" si="1"/>
        <v>133.33333333333334</v>
      </c>
      <c r="L6" s="333">
        <v>15</v>
      </c>
      <c r="M6" s="19">
        <f t="shared" si="2"/>
        <v>1912.2222222222233</v>
      </c>
      <c r="N6" s="18">
        <f t="shared" si="3"/>
        <v>127.48148148148155</v>
      </c>
      <c r="O6" s="20">
        <f t="shared" si="4"/>
        <v>0</v>
      </c>
      <c r="P6" s="21">
        <f t="shared" si="5"/>
        <v>-5.8518518518517908</v>
      </c>
      <c r="Q6" s="331">
        <f t="shared" si="6"/>
        <v>0.95611111111111158</v>
      </c>
      <c r="R6" s="573"/>
      <c r="S6" s="49">
        <v>0.74513888888888891</v>
      </c>
      <c r="T6" s="49">
        <v>0.78263888888888888</v>
      </c>
      <c r="U6" s="330">
        <f t="shared" ref="U6:U7" si="10">IF(S6=TIME(17,0,0),"",(S6-T5)*24*60)</f>
        <v>4.9999999999999822</v>
      </c>
      <c r="V6" s="334">
        <f t="shared" si="7"/>
        <v>53.999999999999972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-87.777777777776691</v>
      </c>
      <c r="AF6" s="331">
        <f t="shared" si="9"/>
        <v>0.95611111111111169</v>
      </c>
      <c r="AG6" s="573"/>
    </row>
    <row r="7" spans="1:33">
      <c r="A7" s="606" t="s">
        <v>44</v>
      </c>
      <c r="B7" s="39" t="s">
        <v>74</v>
      </c>
      <c r="C7" s="598" t="s">
        <v>78</v>
      </c>
      <c r="D7" s="599"/>
      <c r="E7" s="39">
        <v>52.86</v>
      </c>
      <c r="F7" s="335">
        <v>1723</v>
      </c>
      <c r="G7" s="330">
        <f t="shared" si="0"/>
        <v>91077.78</v>
      </c>
      <c r="H7" s="48" t="s">
        <v>126</v>
      </c>
      <c r="I7" s="333">
        <v>16</v>
      </c>
      <c r="J7" s="43">
        <v>2000</v>
      </c>
      <c r="K7" s="18">
        <f t="shared" si="1"/>
        <v>125</v>
      </c>
      <c r="L7" s="333">
        <v>16</v>
      </c>
      <c r="M7" s="19">
        <f t="shared" si="2"/>
        <v>1914.4444444444453</v>
      </c>
      <c r="N7" s="18">
        <f t="shared" si="3"/>
        <v>119.65277777777783</v>
      </c>
      <c r="O7" s="20">
        <f t="shared" si="4"/>
        <v>0</v>
      </c>
      <c r="P7" s="21">
        <f t="shared" si="5"/>
        <v>-5.3472222222221717</v>
      </c>
      <c r="Q7" s="331">
        <f t="shared" si="6"/>
        <v>0.95722222222222264</v>
      </c>
      <c r="R7" s="573"/>
      <c r="S7" s="49">
        <v>0.78749999999999998</v>
      </c>
      <c r="T7" s="49">
        <v>0.82499999999999996</v>
      </c>
      <c r="U7" s="330">
        <f t="shared" si="10"/>
        <v>6.9999999999999751</v>
      </c>
      <c r="V7" s="334">
        <f t="shared" si="7"/>
        <v>53.999999999999972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-85.555555555554747</v>
      </c>
      <c r="AF7" s="331">
        <f t="shared" si="9"/>
        <v>0.95722222222222264</v>
      </c>
      <c r="AG7" s="573"/>
    </row>
    <row r="8" spans="1:33">
      <c r="A8" s="606" t="s">
        <v>1952</v>
      </c>
      <c r="B8" s="39" t="s">
        <v>46</v>
      </c>
      <c r="C8" s="576"/>
      <c r="D8" s="576"/>
      <c r="E8" s="332"/>
      <c r="F8" s="42"/>
      <c r="G8" s="18"/>
      <c r="H8" s="335"/>
      <c r="I8" s="32">
        <v>16</v>
      </c>
      <c r="J8" s="43">
        <v>2000</v>
      </c>
      <c r="K8" s="18">
        <f t="shared" si="1"/>
        <v>125</v>
      </c>
      <c r="L8" s="32">
        <v>16</v>
      </c>
      <c r="M8" s="19">
        <f>AVERAGE(M5:M7)</f>
        <v>1920.9722222222229</v>
      </c>
      <c r="N8" s="18">
        <f t="shared" si="3"/>
        <v>120.06076388888893</v>
      </c>
      <c r="O8" s="20">
        <f t="shared" si="4"/>
        <v>0</v>
      </c>
      <c r="P8" s="21">
        <f t="shared" si="5"/>
        <v>-4.9392361111110716</v>
      </c>
      <c r="Q8" s="331">
        <f t="shared" si="6"/>
        <v>0.96048611111111137</v>
      </c>
      <c r="R8" s="573"/>
      <c r="S8" s="49"/>
      <c r="T8" s="49"/>
      <c r="U8" s="330"/>
      <c r="V8" s="334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-79.027777777777146</v>
      </c>
      <c r="AF8" s="331">
        <f t="shared" si="9"/>
        <v>0.96048611111111137</v>
      </c>
      <c r="AG8" s="573"/>
    </row>
    <row r="9" spans="1:33" ht="15.75" customHeight="1">
      <c r="A9" s="602" t="s">
        <v>47</v>
      </c>
      <c r="B9" s="39" t="s">
        <v>79</v>
      </c>
      <c r="C9" s="598" t="s">
        <v>80</v>
      </c>
      <c r="D9" s="599"/>
      <c r="E9" s="39">
        <v>39.619999999999997</v>
      </c>
      <c r="F9" s="335">
        <v>3000</v>
      </c>
      <c r="G9" s="330">
        <f t="shared" ref="G9:G14" si="11">E9*F9</f>
        <v>118859.99999999999</v>
      </c>
      <c r="H9" s="48">
        <v>2</v>
      </c>
      <c r="I9" s="333">
        <v>19</v>
      </c>
      <c r="J9" s="43">
        <v>1500</v>
      </c>
      <c r="K9" s="18">
        <f t="shared" si="1"/>
        <v>78.94736842105263</v>
      </c>
      <c r="L9" s="333">
        <v>19</v>
      </c>
      <c r="M9" s="19">
        <f t="shared" ref="M9:M14" si="12">F9/V9*60</f>
        <v>1428.5714285714287</v>
      </c>
      <c r="N9" s="18">
        <f t="shared" si="3"/>
        <v>75.187969924812037</v>
      </c>
      <c r="O9" s="20">
        <f t="shared" si="4"/>
        <v>0</v>
      </c>
      <c r="P9" s="21">
        <f t="shared" si="5"/>
        <v>-3.7593984962405926</v>
      </c>
      <c r="Q9" s="331">
        <f t="shared" si="6"/>
        <v>0.95238095238095244</v>
      </c>
      <c r="R9" s="573">
        <f>Q15</f>
        <v>0.9549314616031499</v>
      </c>
      <c r="S9" s="49">
        <v>8.3333333333333329E-2</v>
      </c>
      <c r="T9" s="49">
        <v>0.17083333333333334</v>
      </c>
      <c r="U9" s="330"/>
      <c r="V9" s="334">
        <f t="shared" ref="V9:V14" si="13">(T9-S9)*24*60</f>
        <v>126</v>
      </c>
      <c r="W9" s="25">
        <f>T9</f>
        <v>0.17083333333333334</v>
      </c>
      <c r="X9" s="25">
        <f>S10</f>
        <v>0.19097222222222224</v>
      </c>
      <c r="Y9" s="25"/>
      <c r="Z9" s="25"/>
      <c r="AA9" s="575"/>
      <c r="AB9" s="575"/>
      <c r="AC9" s="50">
        <v>6</v>
      </c>
      <c r="AD9" s="27"/>
      <c r="AE9" s="20">
        <f t="shared" si="8"/>
        <v>-71.428571428571331</v>
      </c>
      <c r="AF9" s="331">
        <f t="shared" si="9"/>
        <v>0.95238095238095244</v>
      </c>
      <c r="AG9" s="573">
        <f>AF15</f>
        <v>0.9549314616031499</v>
      </c>
    </row>
    <row r="10" spans="1:33" ht="15.75" customHeight="1">
      <c r="A10" s="602" t="s">
        <v>47</v>
      </c>
      <c r="B10" s="39" t="s">
        <v>79</v>
      </c>
      <c r="C10" s="598" t="s">
        <v>81</v>
      </c>
      <c r="D10" s="599"/>
      <c r="E10" s="39">
        <v>39.799999999999997</v>
      </c>
      <c r="F10" s="335">
        <v>4300</v>
      </c>
      <c r="G10" s="330">
        <f t="shared" si="11"/>
        <v>171140</v>
      </c>
      <c r="H10" s="48">
        <v>2</v>
      </c>
      <c r="I10" s="333">
        <v>17</v>
      </c>
      <c r="J10" s="43">
        <v>1500</v>
      </c>
      <c r="K10" s="18">
        <f t="shared" si="1"/>
        <v>88.235294117647058</v>
      </c>
      <c r="L10" s="333">
        <v>17</v>
      </c>
      <c r="M10" s="19">
        <f t="shared" si="12"/>
        <v>1433.3333333333337</v>
      </c>
      <c r="N10" s="18">
        <f t="shared" si="3"/>
        <v>84.313725490196106</v>
      </c>
      <c r="O10" s="20">
        <f t="shared" si="4"/>
        <v>0</v>
      </c>
      <c r="P10" s="21">
        <f t="shared" si="5"/>
        <v>-3.9215686274509522</v>
      </c>
      <c r="Q10" s="331">
        <f t="shared" si="6"/>
        <v>0.95555555555555582</v>
      </c>
      <c r="R10" s="573"/>
      <c r="S10" s="49">
        <v>0.19097222222222224</v>
      </c>
      <c r="T10" s="49">
        <v>0.31597222222222221</v>
      </c>
      <c r="U10" s="330">
        <f t="shared" ref="U10:U14" si="14">IF(S10=TIME(17,0,0),"",(S10-T9)*24*60)</f>
        <v>29.000000000000018</v>
      </c>
      <c r="V10" s="334">
        <f t="shared" si="13"/>
        <v>179.99999999999994</v>
      </c>
      <c r="W10" s="25"/>
      <c r="X10" s="25"/>
      <c r="Y10" s="25"/>
      <c r="Z10" s="25"/>
      <c r="AA10" s="575"/>
      <c r="AB10" s="575"/>
      <c r="AC10" s="50"/>
      <c r="AD10" s="27"/>
      <c r="AE10" s="20">
        <f t="shared" si="8"/>
        <v>-66.666666666666288</v>
      </c>
      <c r="AF10" s="331">
        <f t="shared" si="9"/>
        <v>0.95555555555555582</v>
      </c>
      <c r="AG10" s="573"/>
    </row>
    <row r="11" spans="1:33" ht="15.75" customHeight="1">
      <c r="A11" s="602" t="s">
        <v>47</v>
      </c>
      <c r="B11" s="39" t="s">
        <v>79</v>
      </c>
      <c r="C11" s="598" t="s">
        <v>1953</v>
      </c>
      <c r="D11" s="599"/>
      <c r="E11" s="39">
        <v>39.46</v>
      </c>
      <c r="F11" s="335">
        <v>5000</v>
      </c>
      <c r="G11" s="330">
        <f t="shared" si="11"/>
        <v>197300</v>
      </c>
      <c r="H11" s="48">
        <v>2</v>
      </c>
      <c r="I11" s="333">
        <v>16</v>
      </c>
      <c r="J11" s="43">
        <v>1500</v>
      </c>
      <c r="K11" s="18">
        <f t="shared" si="1"/>
        <v>93.75</v>
      </c>
      <c r="L11" s="333">
        <v>16</v>
      </c>
      <c r="M11" s="19">
        <f t="shared" si="12"/>
        <v>1435.4066985645929</v>
      </c>
      <c r="N11" s="18">
        <f t="shared" si="3"/>
        <v>89.712918660287059</v>
      </c>
      <c r="O11" s="20">
        <f t="shared" si="4"/>
        <v>0</v>
      </c>
      <c r="P11" s="21">
        <f t="shared" si="5"/>
        <v>-4.037081339712941</v>
      </c>
      <c r="Q11" s="331">
        <f t="shared" si="6"/>
        <v>0.95693779904306198</v>
      </c>
      <c r="R11" s="573"/>
      <c r="S11" s="49">
        <v>0.32152777777777775</v>
      </c>
      <c r="T11" s="49">
        <v>0.46666666666666667</v>
      </c>
      <c r="U11" s="330">
        <f t="shared" si="14"/>
        <v>7.9999999999999716</v>
      </c>
      <c r="V11" s="334">
        <f t="shared" si="13"/>
        <v>209.00000000000006</v>
      </c>
      <c r="W11" s="25">
        <f>T11</f>
        <v>0.46666666666666667</v>
      </c>
      <c r="X11" s="25">
        <f>S12</f>
        <v>0.50902777777777775</v>
      </c>
      <c r="Y11" s="25"/>
      <c r="Z11" s="25"/>
      <c r="AA11" s="575"/>
      <c r="AB11" s="575"/>
      <c r="AC11" s="50"/>
      <c r="AD11" s="27"/>
      <c r="AE11" s="20">
        <f t="shared" si="8"/>
        <v>-64.593301435407056</v>
      </c>
      <c r="AF11" s="331">
        <f t="shared" si="9"/>
        <v>0.95693779904306198</v>
      </c>
      <c r="AG11" s="573"/>
    </row>
    <row r="12" spans="1:33" ht="15.75" customHeight="1">
      <c r="A12" s="602" t="s">
        <v>47</v>
      </c>
      <c r="B12" s="39" t="s">
        <v>79</v>
      </c>
      <c r="C12" s="598" t="s">
        <v>1953</v>
      </c>
      <c r="D12" s="599"/>
      <c r="E12" s="39">
        <v>39.46</v>
      </c>
      <c r="F12" s="335">
        <v>4015</v>
      </c>
      <c r="G12" s="330">
        <f t="shared" si="11"/>
        <v>158431.9</v>
      </c>
      <c r="H12" s="48" t="s">
        <v>126</v>
      </c>
      <c r="I12" s="333">
        <v>16</v>
      </c>
      <c r="J12" s="43">
        <v>1500</v>
      </c>
      <c r="K12" s="18">
        <f t="shared" si="1"/>
        <v>93.75</v>
      </c>
      <c r="L12" s="333">
        <v>16</v>
      </c>
      <c r="M12" s="19">
        <f t="shared" si="12"/>
        <v>1425.4437869822484</v>
      </c>
      <c r="N12" s="18">
        <f t="shared" si="3"/>
        <v>89.090236686390526</v>
      </c>
      <c r="O12" s="20">
        <f t="shared" si="4"/>
        <v>0</v>
      </c>
      <c r="P12" s="21">
        <f t="shared" si="5"/>
        <v>-4.6597633136094743</v>
      </c>
      <c r="Q12" s="331">
        <f t="shared" si="6"/>
        <v>0.95029585798816563</v>
      </c>
      <c r="R12" s="573"/>
      <c r="S12" s="49">
        <v>0.50902777777777775</v>
      </c>
      <c r="T12" s="49">
        <v>0.62638888888888888</v>
      </c>
      <c r="U12" s="330">
        <f t="shared" si="14"/>
        <v>60.999999999999943</v>
      </c>
      <c r="V12" s="334">
        <f t="shared" si="13"/>
        <v>169.00000000000003</v>
      </c>
      <c r="W12" s="25"/>
      <c r="X12" s="25"/>
      <c r="Y12" s="25"/>
      <c r="Z12" s="25"/>
      <c r="AA12" s="568"/>
      <c r="AB12" s="569"/>
      <c r="AC12" s="50"/>
      <c r="AD12" s="27"/>
      <c r="AE12" s="20">
        <f t="shared" si="8"/>
        <v>-74.556213017751588</v>
      </c>
      <c r="AF12" s="331">
        <f t="shared" si="9"/>
        <v>0.95029585798816563</v>
      </c>
      <c r="AG12" s="573"/>
    </row>
    <row r="13" spans="1:33" ht="15.75" customHeight="1">
      <c r="A13" s="602" t="s">
        <v>47</v>
      </c>
      <c r="B13" s="39" t="s">
        <v>79</v>
      </c>
      <c r="C13" s="598" t="s">
        <v>81</v>
      </c>
      <c r="D13" s="599"/>
      <c r="E13" s="39">
        <v>39.799999999999997</v>
      </c>
      <c r="F13" s="335">
        <v>3078</v>
      </c>
      <c r="G13" s="330">
        <f t="shared" si="11"/>
        <v>122504.4</v>
      </c>
      <c r="H13" s="48" t="s">
        <v>126</v>
      </c>
      <c r="I13" s="333">
        <v>17</v>
      </c>
      <c r="J13" s="43">
        <v>1500</v>
      </c>
      <c r="K13" s="18">
        <f t="shared" si="1"/>
        <v>88.235294117647058</v>
      </c>
      <c r="L13" s="333">
        <v>17</v>
      </c>
      <c r="M13" s="19">
        <f t="shared" si="12"/>
        <v>1431.627906976744</v>
      </c>
      <c r="N13" s="18">
        <f t="shared" si="3"/>
        <v>84.213406292749653</v>
      </c>
      <c r="O13" s="20">
        <f t="shared" si="4"/>
        <v>0</v>
      </c>
      <c r="P13" s="21">
        <f t="shared" si="5"/>
        <v>-4.021887824897405</v>
      </c>
      <c r="Q13" s="331">
        <f t="shared" si="6"/>
        <v>0.95441860465116279</v>
      </c>
      <c r="R13" s="573"/>
      <c r="S13" s="49">
        <v>0.63124999999999998</v>
      </c>
      <c r="T13" s="49">
        <v>0.72083333333333333</v>
      </c>
      <c r="U13" s="330">
        <f t="shared" si="14"/>
        <v>6.9999999999999751</v>
      </c>
      <c r="V13" s="334">
        <f t="shared" si="13"/>
        <v>129.00000000000003</v>
      </c>
      <c r="W13" s="25"/>
      <c r="X13" s="25"/>
      <c r="Y13" s="28"/>
      <c r="Z13" s="28"/>
      <c r="AA13" s="568"/>
      <c r="AB13" s="569"/>
      <c r="AC13" s="50"/>
      <c r="AD13" s="27"/>
      <c r="AE13" s="20">
        <f t="shared" si="8"/>
        <v>-68.372093023255957</v>
      </c>
      <c r="AF13" s="331">
        <f t="shared" si="9"/>
        <v>0.95441860465116268</v>
      </c>
      <c r="AG13" s="573"/>
    </row>
    <row r="14" spans="1:33" ht="15.75" customHeight="1">
      <c r="A14" s="602" t="s">
        <v>47</v>
      </c>
      <c r="B14" s="39" t="s">
        <v>79</v>
      </c>
      <c r="C14" s="598" t="s">
        <v>80</v>
      </c>
      <c r="D14" s="599"/>
      <c r="E14" s="39">
        <v>39.619999999999997</v>
      </c>
      <c r="F14" s="335">
        <v>2112</v>
      </c>
      <c r="G14" s="330">
        <f t="shared" si="11"/>
        <v>83677.439999999988</v>
      </c>
      <c r="H14" s="48" t="s">
        <v>126</v>
      </c>
      <c r="I14" s="333">
        <v>19</v>
      </c>
      <c r="J14" s="43">
        <v>1500</v>
      </c>
      <c r="K14" s="18">
        <f t="shared" si="1"/>
        <v>78.94736842105263</v>
      </c>
      <c r="L14" s="333">
        <v>19</v>
      </c>
      <c r="M14" s="19">
        <f t="shared" si="12"/>
        <v>1440</v>
      </c>
      <c r="N14" s="18">
        <f t="shared" si="3"/>
        <v>75.78947368421052</v>
      </c>
      <c r="O14" s="20">
        <f t="shared" si="4"/>
        <v>0</v>
      </c>
      <c r="P14" s="21">
        <f t="shared" si="5"/>
        <v>-3.1578947368421098</v>
      </c>
      <c r="Q14" s="331">
        <f t="shared" si="6"/>
        <v>0.96</v>
      </c>
      <c r="R14" s="573"/>
      <c r="S14" s="49">
        <v>0.72499999999999998</v>
      </c>
      <c r="T14" s="49">
        <v>0.78611111111111109</v>
      </c>
      <c r="U14" s="330">
        <f t="shared" si="14"/>
        <v>5.9999999999999787</v>
      </c>
      <c r="V14" s="334">
        <f t="shared" si="13"/>
        <v>88</v>
      </c>
      <c r="W14" s="25"/>
      <c r="X14" s="25"/>
      <c r="Y14" s="28"/>
      <c r="Z14" s="28"/>
      <c r="AA14" s="568"/>
      <c r="AB14" s="569"/>
      <c r="AC14" s="50"/>
      <c r="AD14" s="27"/>
      <c r="AE14" s="20">
        <f t="shared" si="8"/>
        <v>-60</v>
      </c>
      <c r="AF14" s="331">
        <f t="shared" si="9"/>
        <v>0.96</v>
      </c>
      <c r="AG14" s="573"/>
    </row>
    <row r="15" spans="1:33" ht="16.5" customHeight="1">
      <c r="A15" s="602" t="s">
        <v>47</v>
      </c>
      <c r="B15" s="39" t="s">
        <v>46</v>
      </c>
      <c r="C15" s="576"/>
      <c r="D15" s="576"/>
      <c r="E15" s="332"/>
      <c r="F15" s="43"/>
      <c r="G15" s="19"/>
      <c r="H15" s="335"/>
      <c r="I15" s="32">
        <v>17.333333333333332</v>
      </c>
      <c r="J15" s="43">
        <v>1500</v>
      </c>
      <c r="K15" s="18">
        <f t="shared" si="1"/>
        <v>86.538461538461547</v>
      </c>
      <c r="L15" s="32">
        <v>17.333333333333332</v>
      </c>
      <c r="M15" s="19">
        <f>AVERAGE(M9:M14)</f>
        <v>1432.3971924047248</v>
      </c>
      <c r="N15" s="18">
        <f t="shared" si="3"/>
        <v>82.638299561811053</v>
      </c>
      <c r="O15" s="20">
        <f t="shared" si="4"/>
        <v>0</v>
      </c>
      <c r="P15" s="21">
        <f t="shared" si="5"/>
        <v>-3.9001619766504945</v>
      </c>
      <c r="Q15" s="331">
        <f t="shared" si="6"/>
        <v>0.9549314616031499</v>
      </c>
      <c r="R15" s="573"/>
      <c r="S15" s="49"/>
      <c r="T15" s="49"/>
      <c r="U15" s="18"/>
      <c r="V15" s="334"/>
      <c r="W15" s="18"/>
      <c r="X15" s="18"/>
      <c r="Y15" s="33">
        <f>SUM(Y9:Y14)</f>
        <v>0</v>
      </c>
      <c r="Z15" s="33">
        <f>SUM(Z9:Z14)</f>
        <v>0</v>
      </c>
      <c r="AA15" s="572"/>
      <c r="AB15" s="572"/>
      <c r="AC15" s="33">
        <v>6</v>
      </c>
      <c r="AD15" s="33">
        <f>SUM(AD9:AD14)</f>
        <v>0</v>
      </c>
      <c r="AE15" s="20">
        <f t="shared" si="8"/>
        <v>-67.602807595275181</v>
      </c>
      <c r="AF15" s="331">
        <f t="shared" si="9"/>
        <v>0.9549314616031499</v>
      </c>
      <c r="AG15" s="573"/>
    </row>
    <row r="16" spans="1:33" ht="16.5" customHeight="1">
      <c r="A16" s="600" t="s">
        <v>50</v>
      </c>
      <c r="B16" s="335" t="s">
        <v>82</v>
      </c>
      <c r="C16" s="594" t="s">
        <v>83</v>
      </c>
      <c r="D16" s="594"/>
      <c r="E16" s="39">
        <v>41</v>
      </c>
      <c r="F16" s="335">
        <v>1940</v>
      </c>
      <c r="G16" s="330">
        <f t="shared" ref="G16:G19" si="15">E16*F16</f>
        <v>79540</v>
      </c>
      <c r="H16" s="48" t="s">
        <v>126</v>
      </c>
      <c r="I16" s="333">
        <v>26</v>
      </c>
      <c r="J16" s="43">
        <v>1500</v>
      </c>
      <c r="K16" s="18">
        <f t="shared" si="1"/>
        <v>57.692307692307693</v>
      </c>
      <c r="L16" s="333">
        <v>26</v>
      </c>
      <c r="M16" s="19">
        <f t="shared" ref="M16:M19" si="16">F16/V16*60</f>
        <v>1437.0370370370372</v>
      </c>
      <c r="N16" s="18">
        <f t="shared" si="3"/>
        <v>55.270655270655276</v>
      </c>
      <c r="O16" s="20">
        <f t="shared" si="4"/>
        <v>0</v>
      </c>
      <c r="P16" s="21">
        <f t="shared" si="5"/>
        <v>-2.4216524216524178</v>
      </c>
      <c r="Q16" s="331">
        <f t="shared" si="6"/>
        <v>0.9580246913580247</v>
      </c>
      <c r="R16" s="573">
        <f>Q20</f>
        <v>0.95653096797770876</v>
      </c>
      <c r="S16" s="49">
        <v>0.20833333333333334</v>
      </c>
      <c r="T16" s="49">
        <v>0.26458333333333334</v>
      </c>
      <c r="U16" s="330"/>
      <c r="V16" s="334">
        <f t="shared" ref="V16:V19" si="17">(T16-S16)*24*60</f>
        <v>80.999999999999986</v>
      </c>
      <c r="W16" s="30"/>
      <c r="X16" s="30"/>
      <c r="Y16" s="30"/>
      <c r="Z16" s="30"/>
      <c r="AA16" s="575"/>
      <c r="AB16" s="575"/>
      <c r="AC16" s="50">
        <v>4</v>
      </c>
      <c r="AD16" s="27"/>
      <c r="AE16" s="20">
        <f t="shared" si="8"/>
        <v>-62.96296296296282</v>
      </c>
      <c r="AF16" s="331">
        <f t="shared" si="9"/>
        <v>0.95802469135802482</v>
      </c>
      <c r="AG16" s="573">
        <f>AF20</f>
        <v>0.95653096797770876</v>
      </c>
    </row>
    <row r="17" spans="1:33" ht="16.5" customHeight="1">
      <c r="A17" s="601" t="s">
        <v>50</v>
      </c>
      <c r="B17" s="335" t="s">
        <v>94</v>
      </c>
      <c r="C17" s="594" t="s">
        <v>1954</v>
      </c>
      <c r="D17" s="594"/>
      <c r="E17" s="39">
        <v>20.21</v>
      </c>
      <c r="F17" s="335">
        <v>9855</v>
      </c>
      <c r="G17" s="330">
        <f t="shared" si="15"/>
        <v>199169.55000000002</v>
      </c>
      <c r="H17" s="48" t="s">
        <v>126</v>
      </c>
      <c r="I17" s="333">
        <v>18</v>
      </c>
      <c r="J17" s="43">
        <v>2400</v>
      </c>
      <c r="K17" s="18">
        <f t="shared" si="1"/>
        <v>133.33333333333334</v>
      </c>
      <c r="L17" s="333">
        <v>18</v>
      </c>
      <c r="M17" s="19">
        <f t="shared" si="16"/>
        <v>2283.0115830115833</v>
      </c>
      <c r="N17" s="18">
        <f t="shared" si="3"/>
        <v>126.83397683397685</v>
      </c>
      <c r="O17" s="20">
        <f t="shared" si="4"/>
        <v>0</v>
      </c>
      <c r="P17" s="21">
        <f t="shared" si="5"/>
        <v>-6.4993564993564945</v>
      </c>
      <c r="Q17" s="331">
        <f t="shared" si="6"/>
        <v>0.95125482625482627</v>
      </c>
      <c r="R17" s="573"/>
      <c r="S17" s="49">
        <v>0.27013888888888887</v>
      </c>
      <c r="T17" s="49">
        <v>0.44999999999999996</v>
      </c>
      <c r="U17" s="330">
        <f t="shared" ref="U17:U19" si="18">IF(S17=TIME(17,0,0),"",(S17-T16)*24*60)</f>
        <v>7.9999999999999716</v>
      </c>
      <c r="V17" s="334">
        <f t="shared" si="17"/>
        <v>259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-116.9884169884167</v>
      </c>
      <c r="AF17" s="331">
        <f t="shared" si="9"/>
        <v>0.95125482625482638</v>
      </c>
      <c r="AG17" s="573"/>
    </row>
    <row r="18" spans="1:33" ht="16.5" customHeight="1">
      <c r="A18" s="601" t="s">
        <v>50</v>
      </c>
      <c r="B18" s="335" t="s">
        <v>74</v>
      </c>
      <c r="C18" s="594" t="s">
        <v>85</v>
      </c>
      <c r="D18" s="594"/>
      <c r="E18" s="39">
        <v>53.68</v>
      </c>
      <c r="F18" s="335">
        <v>1233</v>
      </c>
      <c r="G18" s="330">
        <f t="shared" si="15"/>
        <v>66187.44</v>
      </c>
      <c r="H18" s="48" t="s">
        <v>126</v>
      </c>
      <c r="I18" s="333">
        <v>16</v>
      </c>
      <c r="J18" s="43">
        <v>1500</v>
      </c>
      <c r="K18" s="18">
        <f t="shared" si="1"/>
        <v>93.75</v>
      </c>
      <c r="L18" s="333">
        <v>16</v>
      </c>
      <c r="M18" s="19">
        <f t="shared" si="16"/>
        <v>1450.5882352941182</v>
      </c>
      <c r="N18" s="18">
        <f t="shared" si="3"/>
        <v>90.661764705882391</v>
      </c>
      <c r="O18" s="20">
        <f t="shared" si="4"/>
        <v>0</v>
      </c>
      <c r="P18" s="21">
        <f t="shared" si="5"/>
        <v>-3.0882352941176094</v>
      </c>
      <c r="Q18" s="331">
        <f t="shared" si="6"/>
        <v>0.96705882352941219</v>
      </c>
      <c r="R18" s="573"/>
      <c r="S18" s="49">
        <v>0.70833333333333337</v>
      </c>
      <c r="T18" s="49">
        <v>0.74375000000000002</v>
      </c>
      <c r="U18" s="330" t="str">
        <f t="shared" si="18"/>
        <v/>
      </c>
      <c r="V18" s="334">
        <f t="shared" si="17"/>
        <v>50.999999999999979</v>
      </c>
      <c r="W18" s="25"/>
      <c r="X18" s="25"/>
      <c r="Y18" s="25"/>
      <c r="Z18" s="25"/>
      <c r="AA18" s="575"/>
      <c r="AB18" s="575"/>
      <c r="AC18" s="50"/>
      <c r="AD18" s="27"/>
      <c r="AE18" s="20">
        <f t="shared" si="8"/>
        <v>-49.411764705881751</v>
      </c>
      <c r="AF18" s="331">
        <f t="shared" si="9"/>
        <v>0.96705882352941219</v>
      </c>
      <c r="AG18" s="573"/>
    </row>
    <row r="19" spans="1:33" ht="16.5" customHeight="1">
      <c r="A19" s="601" t="s">
        <v>50</v>
      </c>
      <c r="B19" s="335" t="s">
        <v>74</v>
      </c>
      <c r="C19" s="594" t="s">
        <v>86</v>
      </c>
      <c r="D19" s="594"/>
      <c r="E19" s="39">
        <v>50.92</v>
      </c>
      <c r="F19" s="335">
        <v>2480</v>
      </c>
      <c r="G19" s="330">
        <f t="shared" si="15"/>
        <v>126281.60000000001</v>
      </c>
      <c r="H19" s="48" t="s">
        <v>126</v>
      </c>
      <c r="I19" s="333">
        <v>15</v>
      </c>
      <c r="J19" s="43">
        <v>2000</v>
      </c>
      <c r="K19" s="18">
        <f t="shared" si="1"/>
        <v>133.33333333333334</v>
      </c>
      <c r="L19" s="333">
        <v>15</v>
      </c>
      <c r="M19" s="19">
        <f t="shared" si="16"/>
        <v>1907.6923076923067</v>
      </c>
      <c r="N19" s="18">
        <f t="shared" si="3"/>
        <v>127.17948717948711</v>
      </c>
      <c r="O19" s="20">
        <f t="shared" si="4"/>
        <v>0</v>
      </c>
      <c r="P19" s="21">
        <f t="shared" si="5"/>
        <v>-6.1538461538462315</v>
      </c>
      <c r="Q19" s="331">
        <f t="shared" si="6"/>
        <v>0.95384615384615323</v>
      </c>
      <c r="R19" s="573"/>
      <c r="S19" s="49">
        <v>0.74722222222222223</v>
      </c>
      <c r="T19" s="49">
        <v>0.80138888888888893</v>
      </c>
      <c r="U19" s="330">
        <f t="shared" si="18"/>
        <v>4.9999999999999822</v>
      </c>
      <c r="V19" s="334">
        <f t="shared" si="17"/>
        <v>78.000000000000043</v>
      </c>
      <c r="W19" s="25"/>
      <c r="X19" s="25"/>
      <c r="Y19" s="25"/>
      <c r="Z19" s="25"/>
      <c r="AA19" s="575"/>
      <c r="AB19" s="575"/>
      <c r="AC19" s="50"/>
      <c r="AD19" s="27"/>
      <c r="AE19" s="20">
        <f t="shared" si="8"/>
        <v>-92.307692307693287</v>
      </c>
      <c r="AF19" s="331">
        <f t="shared" si="9"/>
        <v>0.95384615384615334</v>
      </c>
      <c r="AG19" s="573"/>
    </row>
    <row r="20" spans="1:33" ht="16.5" customHeight="1">
      <c r="A20" s="601" t="s">
        <v>50</v>
      </c>
      <c r="B20" s="39" t="s">
        <v>46</v>
      </c>
      <c r="C20" s="576"/>
      <c r="D20" s="576"/>
      <c r="E20" s="332"/>
      <c r="F20" s="42"/>
      <c r="G20" s="18"/>
      <c r="H20" s="335"/>
      <c r="I20" s="32">
        <v>18.75</v>
      </c>
      <c r="J20" s="43">
        <v>1850</v>
      </c>
      <c r="K20" s="18">
        <f t="shared" si="1"/>
        <v>98.666666666666671</v>
      </c>
      <c r="L20" s="32">
        <v>18.75</v>
      </c>
      <c r="M20" s="19">
        <f>AVERAGE(M16:M19)</f>
        <v>1769.5822907587612</v>
      </c>
      <c r="N20" s="18">
        <f t="shared" si="3"/>
        <v>94.377722173800606</v>
      </c>
      <c r="O20" s="20">
        <f t="shared" si="4"/>
        <v>0</v>
      </c>
      <c r="P20" s="21">
        <f t="shared" si="5"/>
        <v>-4.2889444928660652</v>
      </c>
      <c r="Q20" s="331">
        <f t="shared" si="6"/>
        <v>0.95653096797770876</v>
      </c>
      <c r="R20" s="573"/>
      <c r="S20" s="49"/>
      <c r="T20" s="49"/>
      <c r="U20" s="330"/>
      <c r="V20" s="334"/>
      <c r="W20" s="18"/>
      <c r="X20" s="18"/>
      <c r="Y20" s="33">
        <f>SUM(Y16:Y19)</f>
        <v>0</v>
      </c>
      <c r="Z20" s="33">
        <f>SUM(Z16:Z19)</f>
        <v>0</v>
      </c>
      <c r="AA20" s="572"/>
      <c r="AB20" s="572"/>
      <c r="AC20" s="33">
        <v>4</v>
      </c>
      <c r="AD20" s="33">
        <f>SUM(AD16:AD19)</f>
        <v>0</v>
      </c>
      <c r="AE20" s="20">
        <f t="shared" si="8"/>
        <v>-80.417709241238754</v>
      </c>
      <c r="AF20" s="331">
        <f t="shared" si="9"/>
        <v>0.95653096797770876</v>
      </c>
      <c r="AG20" s="573"/>
    </row>
    <row r="21" spans="1:33" ht="15.75" customHeight="1">
      <c r="A21" s="596" t="s">
        <v>53</v>
      </c>
      <c r="B21" s="39" t="s">
        <v>74</v>
      </c>
      <c r="C21" s="594" t="s">
        <v>84</v>
      </c>
      <c r="D21" s="594"/>
      <c r="E21" s="39">
        <v>54.09</v>
      </c>
      <c r="F21" s="335">
        <v>2027</v>
      </c>
      <c r="G21" s="330">
        <f t="shared" ref="G21:G26" si="19">E21*F21</f>
        <v>109640.43000000001</v>
      </c>
      <c r="H21" s="48" t="s">
        <v>126</v>
      </c>
      <c r="I21" s="333">
        <v>17</v>
      </c>
      <c r="J21" s="43">
        <v>1500</v>
      </c>
      <c r="K21" s="18">
        <f t="shared" si="1"/>
        <v>88.235294117647058</v>
      </c>
      <c r="L21" s="333">
        <v>17</v>
      </c>
      <c r="M21" s="19">
        <f t="shared" ref="M21:M26" si="20">F21/V21*60</f>
        <v>1430.8235294117651</v>
      </c>
      <c r="N21" s="18">
        <f t="shared" si="3"/>
        <v>84.166089965397944</v>
      </c>
      <c r="O21" s="20">
        <f t="shared" si="4"/>
        <v>0</v>
      </c>
      <c r="P21" s="21">
        <f t="shared" si="5"/>
        <v>-4.0692041522491138</v>
      </c>
      <c r="Q21" s="331">
        <f t="shared" si="6"/>
        <v>0.95388235294117674</v>
      </c>
      <c r="R21" s="573">
        <f>Q27</f>
        <v>0.95554645658744686</v>
      </c>
      <c r="S21" s="49">
        <v>0.20833333333333334</v>
      </c>
      <c r="T21" s="49">
        <v>0.2673611111111111</v>
      </c>
      <c r="U21" s="330"/>
      <c r="V21" s="334">
        <f t="shared" ref="V21:V26" si="21">(T21-S21)*24*60</f>
        <v>84.999999999999972</v>
      </c>
      <c r="W21" s="30"/>
      <c r="X21" s="30"/>
      <c r="Y21" s="30"/>
      <c r="Z21" s="30"/>
      <c r="AA21" s="575"/>
      <c r="AB21" s="575"/>
      <c r="AC21" s="50">
        <v>6</v>
      </c>
      <c r="AD21" s="27"/>
      <c r="AE21" s="20">
        <f t="shared" si="8"/>
        <v>-69.176470588234906</v>
      </c>
      <c r="AF21" s="331">
        <f t="shared" si="9"/>
        <v>0.95388235294117674</v>
      </c>
      <c r="AG21" s="573">
        <f>AF27</f>
        <v>0.95554645658744686</v>
      </c>
    </row>
    <row r="22" spans="1:33" ht="15.75" customHeight="1">
      <c r="A22" s="597" t="s">
        <v>53</v>
      </c>
      <c r="B22" s="39" t="s">
        <v>74</v>
      </c>
      <c r="C22" s="594" t="s">
        <v>89</v>
      </c>
      <c r="D22" s="594"/>
      <c r="E22" s="39">
        <v>50.67</v>
      </c>
      <c r="F22" s="335">
        <v>2187</v>
      </c>
      <c r="G22" s="330">
        <f t="shared" si="19"/>
        <v>110815.29000000001</v>
      </c>
      <c r="H22" s="48" t="s">
        <v>126</v>
      </c>
      <c r="I22" s="333">
        <v>17</v>
      </c>
      <c r="J22" s="43">
        <v>2000</v>
      </c>
      <c r="K22" s="18">
        <f t="shared" si="1"/>
        <v>117.64705882352941</v>
      </c>
      <c r="L22" s="333">
        <v>17</v>
      </c>
      <c r="M22" s="19">
        <f t="shared" si="20"/>
        <v>1901.7391304347825</v>
      </c>
      <c r="N22" s="18">
        <f t="shared" si="3"/>
        <v>111.86700767263426</v>
      </c>
      <c r="O22" s="20">
        <f t="shared" si="4"/>
        <v>0</v>
      </c>
      <c r="P22" s="21">
        <f t="shared" si="5"/>
        <v>-5.7800511508951473</v>
      </c>
      <c r="Q22" s="331">
        <f t="shared" si="6"/>
        <v>0.9508695652173913</v>
      </c>
      <c r="R22" s="573"/>
      <c r="S22" s="49">
        <v>0.27083333333333331</v>
      </c>
      <c r="T22" s="49">
        <v>0.31874999999999998</v>
      </c>
      <c r="U22" s="330">
        <f t="shared" ref="U22:U26" si="22">IF(S22=TIME(17,0,0),"",(S22-T21)*24*60)</f>
        <v>4.9999999999999822</v>
      </c>
      <c r="V22" s="334">
        <f t="shared" si="21"/>
        <v>69</v>
      </c>
      <c r="W22" s="25"/>
      <c r="X22" s="330"/>
      <c r="Y22" s="330"/>
      <c r="Z22" s="330"/>
      <c r="AA22" s="575"/>
      <c r="AB22" s="575"/>
      <c r="AC22" s="50"/>
      <c r="AD22" s="27"/>
      <c r="AE22" s="20">
        <f t="shared" si="8"/>
        <v>-98.26086956521749</v>
      </c>
      <c r="AF22" s="331">
        <f t="shared" si="9"/>
        <v>0.9508695652173913</v>
      </c>
      <c r="AG22" s="573"/>
    </row>
    <row r="23" spans="1:33" ht="15.75" customHeight="1">
      <c r="A23" s="597" t="s">
        <v>53</v>
      </c>
      <c r="B23" s="39" t="s">
        <v>74</v>
      </c>
      <c r="C23" s="594" t="s">
        <v>90</v>
      </c>
      <c r="D23" s="594"/>
      <c r="E23" s="39">
        <v>57.73</v>
      </c>
      <c r="F23" s="335">
        <v>2496</v>
      </c>
      <c r="G23" s="330">
        <f t="shared" si="19"/>
        <v>144094.07999999999</v>
      </c>
      <c r="H23" s="48" t="s">
        <v>126</v>
      </c>
      <c r="I23" s="333">
        <v>14</v>
      </c>
      <c r="J23" s="43">
        <v>2000</v>
      </c>
      <c r="K23" s="18">
        <f t="shared" si="1"/>
        <v>142.85714285714286</v>
      </c>
      <c r="L23" s="333">
        <v>14</v>
      </c>
      <c r="M23" s="19">
        <f t="shared" si="20"/>
        <v>1919.9999999999989</v>
      </c>
      <c r="N23" s="18">
        <f t="shared" si="3"/>
        <v>137.14285714285705</v>
      </c>
      <c r="O23" s="20">
        <f t="shared" si="4"/>
        <v>0</v>
      </c>
      <c r="P23" s="21">
        <f t="shared" si="5"/>
        <v>-5.7142857142858077</v>
      </c>
      <c r="Q23" s="331">
        <f t="shared" si="6"/>
        <v>0.9599999999999993</v>
      </c>
      <c r="R23" s="573"/>
      <c r="S23" s="49">
        <v>0.32222222222222219</v>
      </c>
      <c r="T23" s="49">
        <v>0.37638888888888888</v>
      </c>
      <c r="U23" s="330">
        <f t="shared" si="22"/>
        <v>4.9999999999999822</v>
      </c>
      <c r="V23" s="334">
        <f t="shared" si="21"/>
        <v>78.000000000000043</v>
      </c>
      <c r="W23" s="25"/>
      <c r="X23" s="330"/>
      <c r="Y23" s="330"/>
      <c r="Z23" s="330"/>
      <c r="AA23" s="575"/>
      <c r="AB23" s="575"/>
      <c r="AC23" s="50"/>
      <c r="AD23" s="27"/>
      <c r="AE23" s="20">
        <f t="shared" si="8"/>
        <v>-80.000000000001137</v>
      </c>
      <c r="AF23" s="331">
        <f t="shared" si="9"/>
        <v>0.95999999999999941</v>
      </c>
      <c r="AG23" s="573"/>
    </row>
    <row r="24" spans="1:33" ht="15.75" customHeight="1">
      <c r="A24" s="597" t="s">
        <v>53</v>
      </c>
      <c r="B24" s="39" t="s">
        <v>74</v>
      </c>
      <c r="C24" s="594" t="s">
        <v>1232</v>
      </c>
      <c r="D24" s="594"/>
      <c r="E24" s="39">
        <v>53.27</v>
      </c>
      <c r="F24" s="335">
        <v>2043</v>
      </c>
      <c r="G24" s="330">
        <f t="shared" si="19"/>
        <v>108830.61</v>
      </c>
      <c r="H24" s="48" t="s">
        <v>126</v>
      </c>
      <c r="I24" s="333">
        <v>16</v>
      </c>
      <c r="J24" s="43">
        <v>2000</v>
      </c>
      <c r="K24" s="18">
        <f t="shared" si="1"/>
        <v>125</v>
      </c>
      <c r="L24" s="333">
        <v>16</v>
      </c>
      <c r="M24" s="19">
        <f t="shared" si="20"/>
        <v>1915.3124999999995</v>
      </c>
      <c r="N24" s="18">
        <f t="shared" si="3"/>
        <v>119.70703124999997</v>
      </c>
      <c r="O24" s="20">
        <f t="shared" si="4"/>
        <v>0</v>
      </c>
      <c r="P24" s="21">
        <f t="shared" si="5"/>
        <v>-5.2929687500000284</v>
      </c>
      <c r="Q24" s="331">
        <f t="shared" si="6"/>
        <v>0.95765624999999976</v>
      </c>
      <c r="R24" s="573"/>
      <c r="S24" s="49">
        <v>0.37986111111111109</v>
      </c>
      <c r="T24" s="49">
        <v>0.42430555555555555</v>
      </c>
      <c r="U24" s="330">
        <f t="shared" si="22"/>
        <v>4.9999999999999822</v>
      </c>
      <c r="V24" s="334">
        <f t="shared" si="21"/>
        <v>64.000000000000014</v>
      </c>
      <c r="W24" s="25"/>
      <c r="X24" s="330"/>
      <c r="Y24" s="330"/>
      <c r="Z24" s="330"/>
      <c r="AA24" s="575"/>
      <c r="AB24" s="575"/>
      <c r="AC24" s="50"/>
      <c r="AD24" s="27"/>
      <c r="AE24" s="20">
        <f t="shared" si="8"/>
        <v>-84.687500000000455</v>
      </c>
      <c r="AF24" s="331">
        <f t="shared" si="9"/>
        <v>0.95765624999999976</v>
      </c>
      <c r="AG24" s="573"/>
    </row>
    <row r="25" spans="1:33" ht="15.75" customHeight="1">
      <c r="A25" s="597" t="s">
        <v>53</v>
      </c>
      <c r="B25" s="39" t="s">
        <v>74</v>
      </c>
      <c r="C25" s="594" t="s">
        <v>92</v>
      </c>
      <c r="D25" s="594"/>
      <c r="E25" s="39">
        <v>50.49</v>
      </c>
      <c r="F25" s="335">
        <v>2113</v>
      </c>
      <c r="G25" s="330">
        <f t="shared" si="19"/>
        <v>106685.37000000001</v>
      </c>
      <c r="H25" s="48" t="s">
        <v>126</v>
      </c>
      <c r="I25" s="333">
        <v>15</v>
      </c>
      <c r="J25" s="43">
        <v>2000</v>
      </c>
      <c r="K25" s="18">
        <f t="shared" si="1"/>
        <v>133.33333333333334</v>
      </c>
      <c r="L25" s="333">
        <v>15</v>
      </c>
      <c r="M25" s="19">
        <f t="shared" si="20"/>
        <v>1920.909090909093</v>
      </c>
      <c r="N25" s="18">
        <f t="shared" si="3"/>
        <v>128.0606060606062</v>
      </c>
      <c r="O25" s="20">
        <f t="shared" si="4"/>
        <v>0</v>
      </c>
      <c r="P25" s="21">
        <f t="shared" si="5"/>
        <v>-5.2727272727271384</v>
      </c>
      <c r="Q25" s="331">
        <f t="shared" si="6"/>
        <v>0.96045454545454645</v>
      </c>
      <c r="R25" s="573"/>
      <c r="S25" s="49">
        <v>0.70833333333333337</v>
      </c>
      <c r="T25" s="49">
        <v>0.75416666666666665</v>
      </c>
      <c r="U25" s="330" t="str">
        <f t="shared" si="22"/>
        <v/>
      </c>
      <c r="V25" s="334">
        <f t="shared" si="21"/>
        <v>65.999999999999929</v>
      </c>
      <c r="W25" s="25"/>
      <c r="X25" s="25"/>
      <c r="Y25" s="330"/>
      <c r="Z25" s="330"/>
      <c r="AA25" s="575"/>
      <c r="AB25" s="575"/>
      <c r="AC25" s="50"/>
      <c r="AD25" s="27"/>
      <c r="AE25" s="20">
        <f t="shared" si="8"/>
        <v>-79.090909090906962</v>
      </c>
      <c r="AF25" s="331">
        <f t="shared" si="9"/>
        <v>0.96045454545454656</v>
      </c>
      <c r="AG25" s="573"/>
    </row>
    <row r="26" spans="1:33" ht="15.75" customHeight="1">
      <c r="A26" s="597" t="s">
        <v>53</v>
      </c>
      <c r="B26" s="39" t="s">
        <v>74</v>
      </c>
      <c r="C26" s="594" t="s">
        <v>93</v>
      </c>
      <c r="D26" s="594"/>
      <c r="E26" s="39">
        <v>50.98</v>
      </c>
      <c r="F26" s="335">
        <v>2565</v>
      </c>
      <c r="G26" s="330">
        <f t="shared" si="19"/>
        <v>130763.7</v>
      </c>
      <c r="H26" s="48" t="s">
        <v>126</v>
      </c>
      <c r="I26" s="333">
        <v>16</v>
      </c>
      <c r="J26" s="43">
        <v>2000</v>
      </c>
      <c r="K26" s="18">
        <f t="shared" si="1"/>
        <v>125</v>
      </c>
      <c r="L26" s="333">
        <v>16</v>
      </c>
      <c r="M26" s="19">
        <f t="shared" si="20"/>
        <v>1899.9999999999995</v>
      </c>
      <c r="N26" s="18">
        <f t="shared" si="3"/>
        <v>118.74999999999997</v>
      </c>
      <c r="O26" s="20">
        <f t="shared" si="4"/>
        <v>0</v>
      </c>
      <c r="P26" s="21">
        <f t="shared" si="5"/>
        <v>-6.2500000000000284</v>
      </c>
      <c r="Q26" s="331">
        <f t="shared" si="6"/>
        <v>0.94999999999999973</v>
      </c>
      <c r="R26" s="573"/>
      <c r="S26" s="49">
        <v>0.75972222222222219</v>
      </c>
      <c r="T26" s="49">
        <v>0.81597222222222221</v>
      </c>
      <c r="U26" s="330">
        <f t="shared" si="22"/>
        <v>7.9999999999999716</v>
      </c>
      <c r="V26" s="334">
        <f t="shared" si="21"/>
        <v>81.000000000000028</v>
      </c>
      <c r="W26" s="25"/>
      <c r="X26" s="30"/>
      <c r="Y26" s="30"/>
      <c r="Z26" s="30"/>
      <c r="AA26" s="575"/>
      <c r="AB26" s="575"/>
      <c r="AC26" s="50"/>
      <c r="AD26" s="27"/>
      <c r="AE26" s="20">
        <f t="shared" si="8"/>
        <v>-100.00000000000045</v>
      </c>
      <c r="AF26" s="331">
        <f t="shared" si="9"/>
        <v>0.94999999999999973</v>
      </c>
      <c r="AG26" s="573"/>
    </row>
    <row r="27" spans="1:33" ht="15.75" customHeight="1">
      <c r="A27" s="597" t="s">
        <v>53</v>
      </c>
      <c r="B27" s="39" t="s">
        <v>46</v>
      </c>
      <c r="C27" s="576"/>
      <c r="D27" s="576"/>
      <c r="E27" s="332"/>
      <c r="F27" s="335"/>
      <c r="G27" s="330"/>
      <c r="H27" s="335"/>
      <c r="I27" s="32">
        <v>15.833333333333334</v>
      </c>
      <c r="J27" s="43">
        <v>1916.6666666666667</v>
      </c>
      <c r="K27" s="18">
        <f t="shared" si="1"/>
        <v>121.05263157894737</v>
      </c>
      <c r="L27" s="32">
        <v>15.833333333333334</v>
      </c>
      <c r="M27" s="19">
        <f>AVERAGE(M21:M26)</f>
        <v>1831.4640417926066</v>
      </c>
      <c r="N27" s="18">
        <f t="shared" si="3"/>
        <v>115.67141316584883</v>
      </c>
      <c r="O27" s="20">
        <f t="shared" si="4"/>
        <v>0</v>
      </c>
      <c r="P27" s="21">
        <f t="shared" si="5"/>
        <v>-5.3812184130985372</v>
      </c>
      <c r="Q27" s="331">
        <f t="shared" si="6"/>
        <v>0.95554645658744686</v>
      </c>
      <c r="R27" s="573"/>
      <c r="S27" s="49"/>
      <c r="T27" s="49"/>
      <c r="U27" s="18"/>
      <c r="V27" s="334"/>
      <c r="W27" s="18"/>
      <c r="X27" s="18"/>
      <c r="Y27" s="33">
        <f>SUM(Y21:Y26)</f>
        <v>0</v>
      </c>
      <c r="Z27" s="33">
        <f>SUM(Z21:Z26)</f>
        <v>0</v>
      </c>
      <c r="AA27" s="572"/>
      <c r="AB27" s="572"/>
      <c r="AC27" s="33">
        <v>6</v>
      </c>
      <c r="AD27" s="33">
        <f>SUM(AD21:AD26)</f>
        <v>0</v>
      </c>
      <c r="AE27" s="20">
        <f t="shared" si="8"/>
        <v>-85.20262487406012</v>
      </c>
      <c r="AF27" s="331">
        <f t="shared" si="9"/>
        <v>0.95554645658744686</v>
      </c>
      <c r="AG27" s="573"/>
    </row>
    <row r="28" spans="1:33" ht="15.75" customHeight="1">
      <c r="A28" s="595" t="s">
        <v>1955</v>
      </c>
      <c r="B28" s="39" t="s">
        <v>94</v>
      </c>
      <c r="C28" s="594" t="s">
        <v>95</v>
      </c>
      <c r="D28" s="594"/>
      <c r="E28" s="39">
        <v>31.29</v>
      </c>
      <c r="F28" s="335">
        <v>6300</v>
      </c>
      <c r="G28" s="330">
        <f t="shared" ref="G28:G34" si="23">E28*F28</f>
        <v>197127</v>
      </c>
      <c r="H28" s="48">
        <v>2</v>
      </c>
      <c r="I28" s="333">
        <v>18</v>
      </c>
      <c r="J28" s="43">
        <v>2400</v>
      </c>
      <c r="K28" s="18">
        <f t="shared" si="1"/>
        <v>133.33333333333334</v>
      </c>
      <c r="L28" s="333">
        <v>18</v>
      </c>
      <c r="M28" s="19">
        <f t="shared" ref="M28:M34" si="24">F28/V28*60</f>
        <v>2290.909090909091</v>
      </c>
      <c r="N28" s="18">
        <f t="shared" si="3"/>
        <v>127.27272727272728</v>
      </c>
      <c r="O28" s="20">
        <f t="shared" si="4"/>
        <v>0</v>
      </c>
      <c r="P28" s="21">
        <f t="shared" si="5"/>
        <v>-6.0606060606060623</v>
      </c>
      <c r="Q28" s="331">
        <f t="shared" si="6"/>
        <v>0.95454545454545459</v>
      </c>
      <c r="R28" s="573">
        <f>Q35</f>
        <v>0.95579466098465538</v>
      </c>
      <c r="S28" s="49">
        <v>8.3333333333333329E-2</v>
      </c>
      <c r="T28" s="49">
        <v>0.19791666666666666</v>
      </c>
      <c r="U28" s="330"/>
      <c r="V28" s="334">
        <f t="shared" ref="V28:V34" si="25">(T28-S28)*24*60</f>
        <v>165</v>
      </c>
      <c r="W28" s="25">
        <f>T28</f>
        <v>0.19791666666666666</v>
      </c>
      <c r="X28" s="25">
        <f>S29</f>
        <v>0.21666666666666667</v>
      </c>
      <c r="Y28" s="25"/>
      <c r="Z28" s="25"/>
      <c r="AA28" s="575"/>
      <c r="AB28" s="575"/>
      <c r="AC28" s="50">
        <v>7</v>
      </c>
      <c r="AD28" s="27"/>
      <c r="AE28" s="20">
        <f t="shared" si="8"/>
        <v>-109.09090909090901</v>
      </c>
      <c r="AF28" s="331">
        <f t="shared" si="9"/>
        <v>0.95454545454545459</v>
      </c>
      <c r="AG28" s="573">
        <f>AF35</f>
        <v>0.9557946609846556</v>
      </c>
    </row>
    <row r="29" spans="1:33" ht="15.75" customHeight="1">
      <c r="A29" s="595" t="s">
        <v>1955</v>
      </c>
      <c r="B29" s="39" t="s">
        <v>94</v>
      </c>
      <c r="C29" s="594" t="s">
        <v>97</v>
      </c>
      <c r="D29" s="594"/>
      <c r="E29" s="39">
        <v>26.37</v>
      </c>
      <c r="F29" s="335">
        <v>4200</v>
      </c>
      <c r="G29" s="330">
        <f t="shared" si="23"/>
        <v>110754</v>
      </c>
      <c r="H29" s="48">
        <v>2</v>
      </c>
      <c r="I29" s="333">
        <v>18</v>
      </c>
      <c r="J29" s="43">
        <v>2400</v>
      </c>
      <c r="K29" s="18">
        <f t="shared" si="1"/>
        <v>133.33333333333334</v>
      </c>
      <c r="L29" s="333">
        <v>18</v>
      </c>
      <c r="M29" s="19">
        <f t="shared" si="24"/>
        <v>2290.909090909091</v>
      </c>
      <c r="N29" s="18">
        <f t="shared" si="3"/>
        <v>127.27272727272728</v>
      </c>
      <c r="O29" s="20">
        <f t="shared" si="4"/>
        <v>0</v>
      </c>
      <c r="P29" s="21">
        <f t="shared" si="5"/>
        <v>-6.0606060606060623</v>
      </c>
      <c r="Q29" s="331">
        <f t="shared" si="6"/>
        <v>0.95454545454545459</v>
      </c>
      <c r="R29" s="573"/>
      <c r="S29" s="49">
        <v>0.21666666666666667</v>
      </c>
      <c r="T29" s="49">
        <v>0.29305555555555557</v>
      </c>
      <c r="U29" s="330">
        <f t="shared" ref="U29:U34" si="26">(S29-T28)*24*60</f>
        <v>27.000000000000025</v>
      </c>
      <c r="V29" s="334">
        <f t="shared" si="25"/>
        <v>110.00000000000001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-109.09090909090901</v>
      </c>
      <c r="AF29" s="331">
        <f t="shared" si="9"/>
        <v>0.95454545454545459</v>
      </c>
      <c r="AG29" s="573"/>
    </row>
    <row r="30" spans="1:33" ht="15.75" customHeight="1">
      <c r="A30" s="595" t="s">
        <v>1955</v>
      </c>
      <c r="B30" s="39" t="s">
        <v>94</v>
      </c>
      <c r="C30" s="594" t="s">
        <v>529</v>
      </c>
      <c r="D30" s="594"/>
      <c r="E30" s="39">
        <v>26.18</v>
      </c>
      <c r="F30" s="335">
        <v>4600</v>
      </c>
      <c r="G30" s="330">
        <f t="shared" si="23"/>
        <v>120428</v>
      </c>
      <c r="H30" s="48">
        <v>2</v>
      </c>
      <c r="I30" s="333">
        <v>18</v>
      </c>
      <c r="J30" s="43">
        <v>2400</v>
      </c>
      <c r="K30" s="18">
        <f t="shared" si="1"/>
        <v>133.33333333333334</v>
      </c>
      <c r="L30" s="333">
        <v>18</v>
      </c>
      <c r="M30" s="19">
        <f t="shared" si="24"/>
        <v>2300.0000000000005</v>
      </c>
      <c r="N30" s="18">
        <f t="shared" si="3"/>
        <v>127.7777777777778</v>
      </c>
      <c r="O30" s="20">
        <f t="shared" si="4"/>
        <v>0</v>
      </c>
      <c r="P30" s="21">
        <f t="shared" si="5"/>
        <v>-5.5555555555555429</v>
      </c>
      <c r="Q30" s="331">
        <f t="shared" si="6"/>
        <v>0.95833333333333348</v>
      </c>
      <c r="R30" s="573"/>
      <c r="S30" s="49">
        <v>0.2986111111111111</v>
      </c>
      <c r="T30" s="49">
        <v>0.38194444444444442</v>
      </c>
      <c r="U30" s="330">
        <f t="shared" si="26"/>
        <v>7.9999999999999716</v>
      </c>
      <c r="V30" s="334">
        <f t="shared" si="25"/>
        <v>119.99999999999997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-99.999999999999545</v>
      </c>
      <c r="AF30" s="331">
        <f t="shared" si="9"/>
        <v>0.95833333333333348</v>
      </c>
      <c r="AG30" s="573"/>
    </row>
    <row r="31" spans="1:33" ht="15.75" customHeight="1">
      <c r="A31" s="595" t="s">
        <v>1955</v>
      </c>
      <c r="B31" s="39" t="s">
        <v>94</v>
      </c>
      <c r="C31" s="594" t="s">
        <v>98</v>
      </c>
      <c r="D31" s="594"/>
      <c r="E31" s="39">
        <v>25.99</v>
      </c>
      <c r="F31" s="335">
        <v>4658</v>
      </c>
      <c r="G31" s="330">
        <f t="shared" si="23"/>
        <v>121061.42</v>
      </c>
      <c r="H31" s="48" t="s">
        <v>126</v>
      </c>
      <c r="I31" s="333">
        <v>14</v>
      </c>
      <c r="J31" s="43">
        <v>2400</v>
      </c>
      <c r="K31" s="18">
        <f t="shared" si="1"/>
        <v>171.42857142857142</v>
      </c>
      <c r="L31" s="333">
        <v>14</v>
      </c>
      <c r="M31" s="19">
        <f t="shared" si="24"/>
        <v>2290.8196721311479</v>
      </c>
      <c r="N31" s="18">
        <f t="shared" si="3"/>
        <v>163.62997658079627</v>
      </c>
      <c r="O31" s="20">
        <f t="shared" si="4"/>
        <v>0</v>
      </c>
      <c r="P31" s="21">
        <f t="shared" si="5"/>
        <v>-7.7985948477751492</v>
      </c>
      <c r="Q31" s="331">
        <f t="shared" si="6"/>
        <v>0.9545081967213116</v>
      </c>
      <c r="R31" s="573"/>
      <c r="S31" s="49">
        <v>0.38749999999999996</v>
      </c>
      <c r="T31" s="49">
        <v>0.47222222222222215</v>
      </c>
      <c r="U31" s="330">
        <f t="shared" si="26"/>
        <v>7.9999999999999716</v>
      </c>
      <c r="V31" s="334">
        <f t="shared" si="25"/>
        <v>121.99999999999997</v>
      </c>
      <c r="W31" s="25">
        <f>T31</f>
        <v>0.47222222222222215</v>
      </c>
      <c r="X31" s="25">
        <f>S32</f>
        <v>0.51111111111111096</v>
      </c>
      <c r="Y31" s="25"/>
      <c r="Z31" s="25"/>
      <c r="AA31" s="575"/>
      <c r="AB31" s="575"/>
      <c r="AC31" s="50"/>
      <c r="AD31" s="27"/>
      <c r="AE31" s="20">
        <f t="shared" si="8"/>
        <v>-109.18032786885215</v>
      </c>
      <c r="AF31" s="331">
        <f t="shared" si="9"/>
        <v>0.9545081967213116</v>
      </c>
      <c r="AG31" s="573"/>
    </row>
    <row r="32" spans="1:33" ht="15.75" customHeight="1">
      <c r="A32" s="595" t="s">
        <v>56</v>
      </c>
      <c r="B32" s="39" t="s">
        <v>94</v>
      </c>
      <c r="C32" s="594" t="s">
        <v>95</v>
      </c>
      <c r="D32" s="594"/>
      <c r="E32" s="39">
        <v>31.29</v>
      </c>
      <c r="F32" s="335">
        <v>4408</v>
      </c>
      <c r="G32" s="330">
        <f t="shared" si="23"/>
        <v>137926.32</v>
      </c>
      <c r="H32" s="48" t="s">
        <v>126</v>
      </c>
      <c r="I32" s="333">
        <v>18</v>
      </c>
      <c r="J32" s="43">
        <v>2400</v>
      </c>
      <c r="K32" s="18">
        <f t="shared" si="1"/>
        <v>133.33333333333334</v>
      </c>
      <c r="L32" s="333">
        <v>18</v>
      </c>
      <c r="M32" s="19">
        <f t="shared" si="24"/>
        <v>2299.8260869565202</v>
      </c>
      <c r="N32" s="18">
        <f t="shared" si="3"/>
        <v>127.7681159420289</v>
      </c>
      <c r="O32" s="20">
        <f t="shared" si="4"/>
        <v>0</v>
      </c>
      <c r="P32" s="21">
        <f t="shared" si="5"/>
        <v>-5.5652173913044436</v>
      </c>
      <c r="Q32" s="331">
        <f t="shared" si="6"/>
        <v>0.95826086956521672</v>
      </c>
      <c r="R32" s="573"/>
      <c r="S32" s="49">
        <v>0.51111111111111096</v>
      </c>
      <c r="T32" s="49">
        <v>0.59097222222222212</v>
      </c>
      <c r="U32" s="330">
        <f t="shared" si="26"/>
        <v>55.999999999999879</v>
      </c>
      <c r="V32" s="334">
        <f t="shared" si="25"/>
        <v>115.00000000000007</v>
      </c>
      <c r="W32" s="25"/>
      <c r="X32" s="25"/>
      <c r="Y32" s="25"/>
      <c r="Z32" s="25"/>
      <c r="AA32" s="575"/>
      <c r="AB32" s="575"/>
      <c r="AC32" s="50"/>
      <c r="AD32" s="27"/>
      <c r="AE32" s="20">
        <f t="shared" si="8"/>
        <v>-100.17391304347984</v>
      </c>
      <c r="AF32" s="331">
        <f t="shared" si="9"/>
        <v>0.95826086956521672</v>
      </c>
      <c r="AG32" s="573"/>
    </row>
    <row r="33" spans="1:33" ht="15.75" customHeight="1">
      <c r="A33" s="595" t="s">
        <v>1955</v>
      </c>
      <c r="B33" s="39" t="s">
        <v>94</v>
      </c>
      <c r="C33" s="594" t="s">
        <v>529</v>
      </c>
      <c r="D33" s="594"/>
      <c r="E33" s="39">
        <v>26.18</v>
      </c>
      <c r="F33" s="335">
        <v>3375</v>
      </c>
      <c r="G33" s="330">
        <f t="shared" si="23"/>
        <v>88357.5</v>
      </c>
      <c r="H33" s="48" t="s">
        <v>126</v>
      </c>
      <c r="I33" s="333">
        <v>18</v>
      </c>
      <c r="J33" s="43">
        <v>2400</v>
      </c>
      <c r="K33" s="18">
        <f t="shared" si="1"/>
        <v>133.33333333333334</v>
      </c>
      <c r="L33" s="333">
        <v>18</v>
      </c>
      <c r="M33" s="19">
        <f t="shared" si="24"/>
        <v>2301.1363636363635</v>
      </c>
      <c r="N33" s="18">
        <f t="shared" si="3"/>
        <v>127.84090909090908</v>
      </c>
      <c r="O33" s="20">
        <f t="shared" si="4"/>
        <v>0</v>
      </c>
      <c r="P33" s="21">
        <f t="shared" si="5"/>
        <v>-5.4924242424242635</v>
      </c>
      <c r="Q33" s="331">
        <f t="shared" si="6"/>
        <v>0.95880681818181801</v>
      </c>
      <c r="R33" s="573"/>
      <c r="S33" s="49">
        <v>0.59444444444444433</v>
      </c>
      <c r="T33" s="49">
        <v>0.65555555555555545</v>
      </c>
      <c r="U33" s="330">
        <f t="shared" si="26"/>
        <v>4.9999999999999822</v>
      </c>
      <c r="V33" s="334">
        <f t="shared" si="25"/>
        <v>88</v>
      </c>
      <c r="W33" s="25"/>
      <c r="X33" s="25"/>
      <c r="Y33" s="25"/>
      <c r="Z33" s="25"/>
      <c r="AA33" s="575"/>
      <c r="AB33" s="575"/>
      <c r="AC33" s="50"/>
      <c r="AD33" s="27"/>
      <c r="AE33" s="20">
        <f t="shared" si="8"/>
        <v>-98.863636363636488</v>
      </c>
      <c r="AF33" s="331">
        <f t="shared" si="9"/>
        <v>0.95880681818181812</v>
      </c>
      <c r="AG33" s="573"/>
    </row>
    <row r="34" spans="1:33" ht="15.75" customHeight="1">
      <c r="A34" s="595" t="s">
        <v>56</v>
      </c>
      <c r="B34" s="39" t="s">
        <v>94</v>
      </c>
      <c r="C34" s="594" t="s">
        <v>97</v>
      </c>
      <c r="D34" s="594"/>
      <c r="E34" s="39">
        <v>26.37</v>
      </c>
      <c r="F34" s="335">
        <v>3045</v>
      </c>
      <c r="G34" s="330">
        <f t="shared" si="23"/>
        <v>80296.650000000009</v>
      </c>
      <c r="H34" s="48" t="s">
        <v>126</v>
      </c>
      <c r="I34" s="333">
        <v>18</v>
      </c>
      <c r="J34" s="43">
        <v>2400</v>
      </c>
      <c r="K34" s="18">
        <f t="shared" si="1"/>
        <v>133.33333333333334</v>
      </c>
      <c r="L34" s="333">
        <v>18</v>
      </c>
      <c r="M34" s="19">
        <f t="shared" si="24"/>
        <v>2283.7499999999991</v>
      </c>
      <c r="N34" s="18">
        <f t="shared" si="3"/>
        <v>126.87499999999994</v>
      </c>
      <c r="O34" s="20">
        <f t="shared" si="4"/>
        <v>0</v>
      </c>
      <c r="P34" s="21">
        <f t="shared" si="5"/>
        <v>-6.4583333333333997</v>
      </c>
      <c r="Q34" s="331">
        <f t="shared" si="6"/>
        <v>0.95156249999999953</v>
      </c>
      <c r="R34" s="573"/>
      <c r="S34" s="49">
        <v>0.65902777777777766</v>
      </c>
      <c r="T34" s="49">
        <v>0.71458333333333324</v>
      </c>
      <c r="U34" s="330">
        <f t="shared" si="26"/>
        <v>4.9999999999999822</v>
      </c>
      <c r="V34" s="334">
        <f t="shared" si="25"/>
        <v>80.000000000000028</v>
      </c>
      <c r="W34" s="25"/>
      <c r="X34" s="25"/>
      <c r="Y34" s="25"/>
      <c r="Z34" s="25"/>
      <c r="AA34" s="575"/>
      <c r="AB34" s="575"/>
      <c r="AC34" s="50"/>
      <c r="AD34" s="27"/>
      <c r="AE34" s="20">
        <f t="shared" si="8"/>
        <v>-116.25000000000091</v>
      </c>
      <c r="AF34" s="331">
        <f t="shared" si="9"/>
        <v>0.95156249999999964</v>
      </c>
      <c r="AG34" s="573"/>
    </row>
    <row r="35" spans="1:33" ht="15.75" customHeight="1">
      <c r="A35" s="595" t="s">
        <v>1955</v>
      </c>
      <c r="B35" s="39" t="s">
        <v>46</v>
      </c>
      <c r="C35" s="576"/>
      <c r="D35" s="576"/>
      <c r="E35" s="332"/>
      <c r="F35" s="335"/>
      <c r="G35" s="330"/>
      <c r="H35" s="335"/>
      <c r="I35" s="32">
        <v>17.428571428571427</v>
      </c>
      <c r="J35" s="43">
        <v>2400</v>
      </c>
      <c r="K35" s="18">
        <f t="shared" si="1"/>
        <v>137.70491803278691</v>
      </c>
      <c r="L35" s="32">
        <v>17.428571428571427</v>
      </c>
      <c r="M35" s="19">
        <f>AVERAGE(M28:M34)</f>
        <v>2293.9071863631734</v>
      </c>
      <c r="N35" s="18">
        <f t="shared" si="3"/>
        <v>131.61762544706733</v>
      </c>
      <c r="O35" s="20">
        <f t="shared" si="4"/>
        <v>0</v>
      </c>
      <c r="P35" s="21">
        <f t="shared" si="5"/>
        <v>-6.087292585719581</v>
      </c>
      <c r="Q35" s="331">
        <f t="shared" si="6"/>
        <v>0.95579466098465538</v>
      </c>
      <c r="R35" s="573"/>
      <c r="S35" s="49"/>
      <c r="T35" s="49"/>
      <c r="U35" s="330"/>
      <c r="V35" s="334"/>
      <c r="W35" s="330"/>
      <c r="X35" s="330"/>
      <c r="Y35" s="33">
        <f>SUM(Y28:Y34)</f>
        <v>0</v>
      </c>
      <c r="Z35" s="33">
        <f>SUM(Z28:Z34)</f>
        <v>0</v>
      </c>
      <c r="AA35" s="572"/>
      <c r="AB35" s="572"/>
      <c r="AC35" s="33">
        <v>7</v>
      </c>
      <c r="AD35" s="33">
        <f>SUM(AD28:AD34)</f>
        <v>0</v>
      </c>
      <c r="AE35" s="20">
        <f t="shared" si="8"/>
        <v>-106.09281363682658</v>
      </c>
      <c r="AF35" s="331">
        <f t="shared" si="9"/>
        <v>0.9557946609846556</v>
      </c>
      <c r="AG35" s="573"/>
    </row>
    <row r="36" spans="1:33" ht="15.75" customHeight="1">
      <c r="A36" s="592" t="s">
        <v>59</v>
      </c>
      <c r="B36" s="39" t="s">
        <v>94</v>
      </c>
      <c r="C36" s="574" t="s">
        <v>530</v>
      </c>
      <c r="D36" s="574"/>
      <c r="E36" s="39">
        <v>26.18</v>
      </c>
      <c r="F36" s="335">
        <v>4100</v>
      </c>
      <c r="G36" s="330">
        <f t="shared" ref="G36:G43" si="27">E36*F36</f>
        <v>107338</v>
      </c>
      <c r="H36" s="48">
        <v>2</v>
      </c>
      <c r="I36" s="333">
        <v>20</v>
      </c>
      <c r="J36" s="43">
        <v>2400</v>
      </c>
      <c r="K36" s="18">
        <f t="shared" si="1"/>
        <v>120</v>
      </c>
      <c r="L36" s="333">
        <v>20</v>
      </c>
      <c r="M36" s="19">
        <f t="shared" ref="M36:M43" si="28">F36/V36*60</f>
        <v>2299.065420560748</v>
      </c>
      <c r="N36" s="18">
        <f t="shared" si="3"/>
        <v>114.95327102803739</v>
      </c>
      <c r="O36" s="20">
        <f t="shared" si="4"/>
        <v>0</v>
      </c>
      <c r="P36" s="21">
        <f t="shared" si="5"/>
        <v>-5.0467289719626081</v>
      </c>
      <c r="Q36" s="331">
        <f t="shared" si="6"/>
        <v>0.95794392523364491</v>
      </c>
      <c r="R36" s="573">
        <f>Q44</f>
        <v>0.95844780045836664</v>
      </c>
      <c r="S36" s="49">
        <v>8.3333333333333329E-2</v>
      </c>
      <c r="T36" s="49">
        <v>0.15763888888888888</v>
      </c>
      <c r="U36" s="330"/>
      <c r="V36" s="334">
        <f t="shared" ref="V36:V43" si="29">(T36-S36)*24*60</f>
        <v>107</v>
      </c>
      <c r="W36" s="30">
        <f>T36</f>
        <v>0.15763888888888888</v>
      </c>
      <c r="X36" s="30">
        <f>S37</f>
        <v>0.17847222222222223</v>
      </c>
      <c r="Y36" s="30"/>
      <c r="Z36" s="30"/>
      <c r="AA36" s="575"/>
      <c r="AB36" s="575"/>
      <c r="AC36" s="50">
        <v>8</v>
      </c>
      <c r="AD36" s="27"/>
      <c r="AE36" s="20">
        <f t="shared" si="8"/>
        <v>-100.93457943925205</v>
      </c>
      <c r="AF36" s="331">
        <f t="shared" si="9"/>
        <v>0.95794392523364502</v>
      </c>
      <c r="AG36" s="573">
        <f>AF44</f>
        <v>0.95844780045836653</v>
      </c>
    </row>
    <row r="37" spans="1:33" ht="15.75" customHeight="1">
      <c r="A37" s="592" t="s">
        <v>59</v>
      </c>
      <c r="B37" s="39" t="s">
        <v>94</v>
      </c>
      <c r="C37" s="574" t="s">
        <v>100</v>
      </c>
      <c r="D37" s="574"/>
      <c r="E37" s="39">
        <v>24.43</v>
      </c>
      <c r="F37" s="335">
        <v>4200</v>
      </c>
      <c r="G37" s="330">
        <f t="shared" si="27"/>
        <v>102606</v>
      </c>
      <c r="H37" s="48">
        <v>2</v>
      </c>
      <c r="I37" s="333">
        <v>14</v>
      </c>
      <c r="J37" s="43">
        <v>2400</v>
      </c>
      <c r="K37" s="18">
        <f t="shared" si="1"/>
        <v>171.42857142857142</v>
      </c>
      <c r="L37" s="333">
        <v>14</v>
      </c>
      <c r="M37" s="19">
        <f t="shared" si="28"/>
        <v>2290.9090909090914</v>
      </c>
      <c r="N37" s="18">
        <f t="shared" si="3"/>
        <v>163.63636363636368</v>
      </c>
      <c r="O37" s="20">
        <f t="shared" si="4"/>
        <v>0</v>
      </c>
      <c r="P37" s="21">
        <f t="shared" si="5"/>
        <v>-7.7922077922077335</v>
      </c>
      <c r="Q37" s="331">
        <f t="shared" si="6"/>
        <v>0.95454545454545492</v>
      </c>
      <c r="R37" s="573"/>
      <c r="S37" s="49">
        <v>0.17847222222222223</v>
      </c>
      <c r="T37" s="49">
        <v>0.25486111111111109</v>
      </c>
      <c r="U37" s="330">
        <f t="shared" ref="U37:U43" si="30">(S37-T36)*24*60</f>
        <v>30.000000000000014</v>
      </c>
      <c r="V37" s="334">
        <f t="shared" si="29"/>
        <v>109.99999999999997</v>
      </c>
      <c r="W37" s="330"/>
      <c r="X37" s="330"/>
      <c r="Y37" s="330"/>
      <c r="Z37" s="330"/>
      <c r="AA37" s="575"/>
      <c r="AB37" s="575"/>
      <c r="AC37" s="50"/>
      <c r="AD37" s="27"/>
      <c r="AE37" s="20">
        <f t="shared" si="8"/>
        <v>-109.09090909090855</v>
      </c>
      <c r="AF37" s="331">
        <f t="shared" si="9"/>
        <v>0.95454545454545481</v>
      </c>
      <c r="AG37" s="573"/>
    </row>
    <row r="38" spans="1:33">
      <c r="A38" s="593" t="s">
        <v>59</v>
      </c>
      <c r="B38" s="39" t="s">
        <v>94</v>
      </c>
      <c r="C38" s="574" t="s">
        <v>102</v>
      </c>
      <c r="D38" s="574"/>
      <c r="E38" s="39">
        <v>34.1</v>
      </c>
      <c r="F38" s="335">
        <v>4100</v>
      </c>
      <c r="G38" s="330">
        <f t="shared" si="27"/>
        <v>139810</v>
      </c>
      <c r="H38" s="48">
        <v>2</v>
      </c>
      <c r="I38" s="333">
        <v>17</v>
      </c>
      <c r="J38" s="43">
        <v>1600</v>
      </c>
      <c r="K38" s="18">
        <f t="shared" si="1"/>
        <v>94.117647058823536</v>
      </c>
      <c r="L38" s="333">
        <v>17</v>
      </c>
      <c r="M38" s="19">
        <f t="shared" si="28"/>
        <v>1527.9503105590063</v>
      </c>
      <c r="N38" s="18">
        <f t="shared" si="3"/>
        <v>89.879430032882723</v>
      </c>
      <c r="O38" s="20">
        <f t="shared" si="4"/>
        <v>0</v>
      </c>
      <c r="P38" s="21">
        <f t="shared" si="5"/>
        <v>-4.2382170259408127</v>
      </c>
      <c r="Q38" s="331">
        <f t="shared" si="6"/>
        <v>0.95496894409937882</v>
      </c>
      <c r="R38" s="573"/>
      <c r="S38" s="49">
        <v>0.25902777777777775</v>
      </c>
      <c r="T38" s="49">
        <v>0.37083333333333329</v>
      </c>
      <c r="U38" s="330">
        <f t="shared" si="30"/>
        <v>5.9999999999999787</v>
      </c>
      <c r="V38" s="334">
        <f t="shared" si="29"/>
        <v>161</v>
      </c>
      <c r="W38" s="330"/>
      <c r="X38" s="330"/>
      <c r="Y38" s="330"/>
      <c r="Z38" s="330"/>
      <c r="AA38" s="575"/>
      <c r="AB38" s="575"/>
      <c r="AC38" s="50"/>
      <c r="AD38" s="27"/>
      <c r="AE38" s="20">
        <f t="shared" si="8"/>
        <v>-72.049689440993689</v>
      </c>
      <c r="AF38" s="331">
        <f t="shared" si="9"/>
        <v>0.95496894409937894</v>
      </c>
      <c r="AG38" s="573"/>
    </row>
    <row r="39" spans="1:33">
      <c r="A39" s="593" t="s">
        <v>59</v>
      </c>
      <c r="B39" s="39" t="s">
        <v>94</v>
      </c>
      <c r="C39" s="574" t="s">
        <v>101</v>
      </c>
      <c r="D39" s="574"/>
      <c r="E39" s="39">
        <v>25.98</v>
      </c>
      <c r="F39" s="335">
        <v>3486</v>
      </c>
      <c r="G39" s="330">
        <f t="shared" si="27"/>
        <v>90566.28</v>
      </c>
      <c r="H39" s="48" t="s">
        <v>126</v>
      </c>
      <c r="I39" s="333">
        <v>19</v>
      </c>
      <c r="J39" s="43">
        <v>2400</v>
      </c>
      <c r="K39" s="18">
        <f t="shared" si="1"/>
        <v>126.31578947368421</v>
      </c>
      <c r="L39" s="333">
        <v>19</v>
      </c>
      <c r="M39" s="19">
        <f t="shared" si="28"/>
        <v>2298.4615384615386</v>
      </c>
      <c r="N39" s="18">
        <f t="shared" si="3"/>
        <v>120.97165991902834</v>
      </c>
      <c r="O39" s="20">
        <f t="shared" si="4"/>
        <v>0</v>
      </c>
      <c r="P39" s="21">
        <f t="shared" si="5"/>
        <v>-5.3441295546558649</v>
      </c>
      <c r="Q39" s="331">
        <f t="shared" si="6"/>
        <v>0.95769230769230773</v>
      </c>
      <c r="R39" s="573"/>
      <c r="S39" s="49">
        <v>0.37638888888888883</v>
      </c>
      <c r="T39" s="49">
        <v>0.43958333333333327</v>
      </c>
      <c r="U39" s="330">
        <f t="shared" si="30"/>
        <v>7.9999999999999716</v>
      </c>
      <c r="V39" s="334">
        <f t="shared" si="29"/>
        <v>91</v>
      </c>
      <c r="W39" s="25"/>
      <c r="X39" s="25"/>
      <c r="Y39" s="25"/>
      <c r="Z39" s="25"/>
      <c r="AA39" s="575"/>
      <c r="AB39" s="575"/>
      <c r="AC39" s="50"/>
      <c r="AD39" s="27"/>
      <c r="AE39" s="20">
        <f t="shared" si="8"/>
        <v>-101.53846153846143</v>
      </c>
      <c r="AF39" s="331">
        <f t="shared" si="9"/>
        <v>0.95769230769230773</v>
      </c>
      <c r="AG39" s="573"/>
    </row>
    <row r="40" spans="1:33">
      <c r="A40" s="593" t="s">
        <v>59</v>
      </c>
      <c r="B40" s="39" t="s">
        <v>94</v>
      </c>
      <c r="C40" s="574" t="s">
        <v>103</v>
      </c>
      <c r="D40" s="574"/>
      <c r="E40" s="39">
        <v>20.2</v>
      </c>
      <c r="F40" s="335">
        <v>2389</v>
      </c>
      <c r="G40" s="330">
        <f t="shared" si="27"/>
        <v>48257.799999999996</v>
      </c>
      <c r="H40" s="48" t="s">
        <v>126</v>
      </c>
      <c r="I40" s="333">
        <v>15</v>
      </c>
      <c r="J40" s="43">
        <v>2400</v>
      </c>
      <c r="K40" s="18">
        <f t="shared" si="1"/>
        <v>160</v>
      </c>
      <c r="L40" s="333">
        <v>15</v>
      </c>
      <c r="M40" s="19">
        <f t="shared" si="28"/>
        <v>2311.9354838709669</v>
      </c>
      <c r="N40" s="18">
        <f t="shared" si="3"/>
        <v>154.12903225806446</v>
      </c>
      <c r="O40" s="20">
        <f t="shared" si="4"/>
        <v>0</v>
      </c>
      <c r="P40" s="21">
        <f t="shared" si="5"/>
        <v>-5.8709677419355444</v>
      </c>
      <c r="Q40" s="331">
        <f t="shared" si="6"/>
        <v>0.96330645161290285</v>
      </c>
      <c r="R40" s="573"/>
      <c r="S40" s="49">
        <v>0.44513888888888881</v>
      </c>
      <c r="T40" s="49">
        <v>0.48819444444444438</v>
      </c>
      <c r="U40" s="330">
        <f t="shared" si="30"/>
        <v>7.9999999999999716</v>
      </c>
      <c r="V40" s="334">
        <f t="shared" si="29"/>
        <v>62.000000000000021</v>
      </c>
      <c r="W40" s="25">
        <f>T40</f>
        <v>0.48819444444444438</v>
      </c>
      <c r="X40" s="25">
        <f>S41</f>
        <v>0.52916666666666656</v>
      </c>
      <c r="Y40" s="25"/>
      <c r="Z40" s="25"/>
      <c r="AA40" s="575"/>
      <c r="AB40" s="575"/>
      <c r="AC40" s="50"/>
      <c r="AD40" s="27"/>
      <c r="AE40" s="20">
        <f t="shared" si="8"/>
        <v>-88.064516129033109</v>
      </c>
      <c r="AF40" s="331">
        <f t="shared" si="9"/>
        <v>0.96330645161290285</v>
      </c>
      <c r="AG40" s="573"/>
    </row>
    <row r="41" spans="1:33">
      <c r="A41" s="593" t="s">
        <v>59</v>
      </c>
      <c r="B41" s="39" t="s">
        <v>94</v>
      </c>
      <c r="C41" s="574" t="s">
        <v>102</v>
      </c>
      <c r="D41" s="574"/>
      <c r="E41" s="39">
        <v>34.1</v>
      </c>
      <c r="F41" s="335">
        <v>3235</v>
      </c>
      <c r="G41" s="330">
        <f t="shared" si="27"/>
        <v>110313.5</v>
      </c>
      <c r="H41" s="48" t="s">
        <v>126</v>
      </c>
      <c r="I41" s="333">
        <v>17</v>
      </c>
      <c r="J41" s="43">
        <v>1600</v>
      </c>
      <c r="K41" s="18">
        <f t="shared" si="1"/>
        <v>94.117647058823536</v>
      </c>
      <c r="L41" s="333">
        <v>17</v>
      </c>
      <c r="M41" s="19">
        <f t="shared" si="28"/>
        <v>1528.3464566929131</v>
      </c>
      <c r="N41" s="18">
        <f t="shared" si="3"/>
        <v>89.902732746641945</v>
      </c>
      <c r="O41" s="20">
        <f t="shared" si="4"/>
        <v>0</v>
      </c>
      <c r="P41" s="21">
        <f t="shared" si="5"/>
        <v>-4.2149143121815911</v>
      </c>
      <c r="Q41" s="331">
        <f t="shared" si="6"/>
        <v>0.95521653543307061</v>
      </c>
      <c r="R41" s="573"/>
      <c r="S41" s="49">
        <v>0.52916666666666656</v>
      </c>
      <c r="T41" s="49">
        <v>0.61736111111111103</v>
      </c>
      <c r="U41" s="330">
        <f t="shared" si="30"/>
        <v>58.99999999999995</v>
      </c>
      <c r="V41" s="334">
        <f t="shared" si="29"/>
        <v>127.00000000000003</v>
      </c>
      <c r="W41" s="25"/>
      <c r="X41" s="25"/>
      <c r="Y41" s="25"/>
      <c r="Z41" s="25"/>
      <c r="AA41" s="575"/>
      <c r="AB41" s="575"/>
      <c r="AC41" s="50"/>
      <c r="AD41" s="27"/>
      <c r="AE41" s="20">
        <f t="shared" si="8"/>
        <v>-71.65354330708692</v>
      </c>
      <c r="AF41" s="331">
        <f t="shared" si="9"/>
        <v>0.95521653543307072</v>
      </c>
      <c r="AG41" s="573"/>
    </row>
    <row r="42" spans="1:33">
      <c r="A42" s="593" t="s">
        <v>59</v>
      </c>
      <c r="B42" s="39" t="s">
        <v>94</v>
      </c>
      <c r="C42" s="574" t="s">
        <v>530</v>
      </c>
      <c r="D42" s="574"/>
      <c r="E42" s="39">
        <v>26.18</v>
      </c>
      <c r="F42" s="335">
        <v>2963</v>
      </c>
      <c r="G42" s="330">
        <f t="shared" si="27"/>
        <v>77571.34</v>
      </c>
      <c r="H42" s="48" t="s">
        <v>126</v>
      </c>
      <c r="I42" s="333">
        <v>20</v>
      </c>
      <c r="J42" s="43">
        <v>2400</v>
      </c>
      <c r="K42" s="18">
        <f t="shared" si="1"/>
        <v>120</v>
      </c>
      <c r="L42" s="333">
        <v>20</v>
      </c>
      <c r="M42" s="19">
        <f t="shared" si="28"/>
        <v>2308.8311688311678</v>
      </c>
      <c r="N42" s="18">
        <f t="shared" si="3"/>
        <v>115.44155844155839</v>
      </c>
      <c r="O42" s="20">
        <f t="shared" si="4"/>
        <v>0</v>
      </c>
      <c r="P42" s="21">
        <f t="shared" si="5"/>
        <v>-4.5584415584416149</v>
      </c>
      <c r="Q42" s="331">
        <f t="shared" si="6"/>
        <v>0.96201298701298654</v>
      </c>
      <c r="R42" s="573"/>
      <c r="S42" s="49">
        <v>0.62083333333333324</v>
      </c>
      <c r="T42" s="49">
        <v>0.67430555555555549</v>
      </c>
      <c r="U42" s="330">
        <f t="shared" si="30"/>
        <v>4.9999999999999822</v>
      </c>
      <c r="V42" s="334">
        <f t="shared" si="29"/>
        <v>77.000000000000043</v>
      </c>
      <c r="W42" s="25"/>
      <c r="X42" s="25"/>
      <c r="Y42" s="28"/>
      <c r="Z42" s="28"/>
      <c r="AA42" s="568"/>
      <c r="AB42" s="569"/>
      <c r="AC42" s="50"/>
      <c r="AD42" s="27"/>
      <c r="AE42" s="20">
        <f t="shared" si="8"/>
        <v>-91.168831168832185</v>
      </c>
      <c r="AF42" s="331">
        <f t="shared" si="9"/>
        <v>0.96201298701298654</v>
      </c>
      <c r="AG42" s="573"/>
    </row>
    <row r="43" spans="1:33">
      <c r="A43" s="593" t="s">
        <v>59</v>
      </c>
      <c r="B43" s="39" t="s">
        <v>94</v>
      </c>
      <c r="C43" s="574" t="s">
        <v>100</v>
      </c>
      <c r="D43" s="574"/>
      <c r="E43" s="39">
        <v>24.43</v>
      </c>
      <c r="F43" s="335">
        <v>3378</v>
      </c>
      <c r="G43" s="330">
        <f t="shared" si="27"/>
        <v>82524.539999999994</v>
      </c>
      <c r="H43" s="48" t="s">
        <v>126</v>
      </c>
      <c r="I43" s="333">
        <v>14</v>
      </c>
      <c r="J43" s="43">
        <v>2400</v>
      </c>
      <c r="K43" s="18">
        <f t="shared" si="1"/>
        <v>171.42857142857142</v>
      </c>
      <c r="L43" s="333">
        <v>14</v>
      </c>
      <c r="M43" s="19">
        <f t="shared" si="28"/>
        <v>2303.181818181818</v>
      </c>
      <c r="N43" s="18">
        <f t="shared" si="3"/>
        <v>164.512987012987</v>
      </c>
      <c r="O43" s="20">
        <f t="shared" si="4"/>
        <v>0</v>
      </c>
      <c r="P43" s="21">
        <f t="shared" si="5"/>
        <v>-6.9155844155844193</v>
      </c>
      <c r="Q43" s="331">
        <f t="shared" si="6"/>
        <v>0.95965909090909085</v>
      </c>
      <c r="R43" s="573"/>
      <c r="S43" s="49">
        <v>0.67916666666666659</v>
      </c>
      <c r="T43" s="49">
        <v>0.7402777777777777</v>
      </c>
      <c r="U43" s="330">
        <f t="shared" si="30"/>
        <v>6.9999999999999751</v>
      </c>
      <c r="V43" s="334">
        <f t="shared" si="29"/>
        <v>88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-96.818181818181984</v>
      </c>
      <c r="AF43" s="331">
        <f t="shared" si="9"/>
        <v>0.95965909090909085</v>
      </c>
      <c r="AG43" s="573"/>
    </row>
    <row r="44" spans="1:33">
      <c r="A44" s="593" t="s">
        <v>59</v>
      </c>
      <c r="B44" s="42" t="s">
        <v>46</v>
      </c>
      <c r="C44" s="576"/>
      <c r="D44" s="576"/>
      <c r="E44" s="332"/>
      <c r="F44" s="42"/>
      <c r="G44" s="18"/>
      <c r="H44" s="335"/>
      <c r="I44" s="32">
        <v>17</v>
      </c>
      <c r="J44" s="43">
        <v>2200</v>
      </c>
      <c r="K44" s="18">
        <f t="shared" si="1"/>
        <v>129.41176470588235</v>
      </c>
      <c r="L44" s="32">
        <v>17</v>
      </c>
      <c r="M44" s="19">
        <f>AVERAGE(M36:M43)</f>
        <v>2108.5851610084064</v>
      </c>
      <c r="N44" s="18">
        <f t="shared" si="3"/>
        <v>124.03442123578861</v>
      </c>
      <c r="O44" s="20">
        <f t="shared" si="4"/>
        <v>0</v>
      </c>
      <c r="P44" s="21">
        <f t="shared" si="5"/>
        <v>-5.3773434700937344</v>
      </c>
      <c r="Q44" s="331">
        <f t="shared" si="6"/>
        <v>0.95844780045836664</v>
      </c>
      <c r="R44" s="573"/>
      <c r="S44" s="49"/>
      <c r="T44" s="49"/>
      <c r="U44" s="18"/>
      <c r="V44" s="334"/>
      <c r="W44" s="18"/>
      <c r="X44" s="18"/>
      <c r="Y44" s="33">
        <f>SUM(Y36:Y43)</f>
        <v>0</v>
      </c>
      <c r="Z44" s="33">
        <f>SUM(Z36:Z43)</f>
        <v>0</v>
      </c>
      <c r="AA44" s="572"/>
      <c r="AB44" s="572"/>
      <c r="AC44" s="33">
        <v>8</v>
      </c>
      <c r="AD44" s="33">
        <f>SUM(AD36:AD43)</f>
        <v>0</v>
      </c>
      <c r="AE44" s="20">
        <f t="shared" si="8"/>
        <v>-91.41483899159357</v>
      </c>
      <c r="AF44" s="331">
        <f t="shared" si="9"/>
        <v>0.95844780045836653</v>
      </c>
      <c r="AG44" s="573"/>
    </row>
    <row r="45" spans="1:33" ht="15.75" customHeight="1">
      <c r="A45" s="589" t="s">
        <v>61</v>
      </c>
      <c r="B45" s="39" t="s">
        <v>104</v>
      </c>
      <c r="C45" s="566" t="s">
        <v>105</v>
      </c>
      <c r="D45" s="567"/>
      <c r="E45" s="39">
        <v>37.880000000000003</v>
      </c>
      <c r="F45" s="335">
        <v>2258</v>
      </c>
      <c r="G45" s="330">
        <f t="shared" ref="G45:G48" si="31">E45*F45</f>
        <v>85533.040000000008</v>
      </c>
      <c r="H45" s="48" t="s">
        <v>126</v>
      </c>
      <c r="I45" s="333">
        <v>13</v>
      </c>
      <c r="J45" s="43">
        <v>2000</v>
      </c>
      <c r="K45" s="18">
        <f t="shared" si="1"/>
        <v>153.84615384615384</v>
      </c>
      <c r="L45" s="333">
        <v>13</v>
      </c>
      <c r="M45" s="19">
        <f t="shared" ref="M45:M48" si="32">F45/V45*60</f>
        <v>1908.1690140845067</v>
      </c>
      <c r="N45" s="19">
        <f t="shared" si="3"/>
        <v>146.78223185265435</v>
      </c>
      <c r="O45" s="20">
        <f t="shared" si="4"/>
        <v>0</v>
      </c>
      <c r="P45" s="21">
        <f t="shared" si="5"/>
        <v>-7.0639219934994912</v>
      </c>
      <c r="Q45" s="331">
        <f t="shared" si="6"/>
        <v>0.95408450704225334</v>
      </c>
      <c r="R45" s="584">
        <f>Q49</f>
        <v>0.95417454311430894</v>
      </c>
      <c r="S45" s="49">
        <v>8.3333333333333329E-2</v>
      </c>
      <c r="T45" s="49">
        <v>0.13263888888888889</v>
      </c>
      <c r="U45" s="30"/>
      <c r="V45" s="334">
        <f t="shared" ref="V45:V48" si="33">(T45-S45)*24*60</f>
        <v>71.000000000000014</v>
      </c>
      <c r="W45" s="25">
        <f>T45</f>
        <v>0.13263888888888889</v>
      </c>
      <c r="X45" s="25">
        <f>S46</f>
        <v>0.14999999999999997</v>
      </c>
      <c r="Y45" s="28"/>
      <c r="Z45" s="28"/>
      <c r="AA45" s="568"/>
      <c r="AB45" s="569"/>
      <c r="AC45" s="50">
        <v>4</v>
      </c>
      <c r="AD45" s="27"/>
      <c r="AE45" s="20">
        <f t="shared" si="8"/>
        <v>-91.830985915493329</v>
      </c>
      <c r="AF45" s="331">
        <f t="shared" si="9"/>
        <v>0.95408450704225334</v>
      </c>
      <c r="AG45" s="584">
        <f>AF49</f>
        <v>0.95417454311430894</v>
      </c>
    </row>
    <row r="46" spans="1:33" ht="15.75" customHeight="1">
      <c r="A46" s="590" t="s">
        <v>61</v>
      </c>
      <c r="B46" s="39" t="s">
        <v>104</v>
      </c>
      <c r="C46" s="566" t="s">
        <v>106</v>
      </c>
      <c r="D46" s="567"/>
      <c r="E46" s="39">
        <v>35.119999999999997</v>
      </c>
      <c r="F46" s="335">
        <v>5873</v>
      </c>
      <c r="G46" s="330">
        <f t="shared" si="31"/>
        <v>206259.75999999998</v>
      </c>
      <c r="H46" s="48" t="s">
        <v>126</v>
      </c>
      <c r="I46" s="333">
        <v>10</v>
      </c>
      <c r="J46" s="43">
        <v>3000</v>
      </c>
      <c r="K46" s="18">
        <f t="shared" si="1"/>
        <v>300</v>
      </c>
      <c r="L46" s="333">
        <v>10</v>
      </c>
      <c r="M46" s="19">
        <f t="shared" si="32"/>
        <v>2864.8780487804888</v>
      </c>
      <c r="N46" s="19">
        <f t="shared" si="3"/>
        <v>286.48780487804891</v>
      </c>
      <c r="O46" s="20">
        <f t="shared" si="4"/>
        <v>0</v>
      </c>
      <c r="P46" s="21">
        <f t="shared" si="5"/>
        <v>-13.512195121951095</v>
      </c>
      <c r="Q46" s="331">
        <f t="shared" si="6"/>
        <v>0.95495934959349638</v>
      </c>
      <c r="R46" s="585"/>
      <c r="S46" s="49">
        <v>0.14999999999999997</v>
      </c>
      <c r="T46" s="49">
        <v>0.23541666666666661</v>
      </c>
      <c r="U46" s="330">
        <f t="shared" ref="U46:U48" si="34">(S46-T45)*24*60</f>
        <v>24.99999999999995</v>
      </c>
      <c r="V46" s="334">
        <f t="shared" si="33"/>
        <v>122.99999999999996</v>
      </c>
      <c r="W46" s="25"/>
      <c r="X46" s="25"/>
      <c r="Y46" s="28"/>
      <c r="Z46" s="28"/>
      <c r="AA46" s="568"/>
      <c r="AB46" s="569"/>
      <c r="AC46" s="50"/>
      <c r="AD46" s="27"/>
      <c r="AE46" s="20">
        <f t="shared" si="8"/>
        <v>-135.12195121951117</v>
      </c>
      <c r="AF46" s="331">
        <f t="shared" si="9"/>
        <v>0.95495934959349627</v>
      </c>
      <c r="AG46" s="585"/>
    </row>
    <row r="47" spans="1:33" ht="15.75" customHeight="1">
      <c r="A47" s="590" t="s">
        <v>61</v>
      </c>
      <c r="B47" s="39" t="s">
        <v>104</v>
      </c>
      <c r="C47" s="566" t="s">
        <v>107</v>
      </c>
      <c r="D47" s="567"/>
      <c r="E47" s="39">
        <v>21.13</v>
      </c>
      <c r="F47" s="335">
        <v>5963</v>
      </c>
      <c r="G47" s="330">
        <f t="shared" si="31"/>
        <v>125998.18999999999</v>
      </c>
      <c r="H47" s="48" t="s">
        <v>126</v>
      </c>
      <c r="I47" s="333">
        <v>10</v>
      </c>
      <c r="J47" s="43">
        <v>3000</v>
      </c>
      <c r="K47" s="18">
        <f t="shared" si="1"/>
        <v>300</v>
      </c>
      <c r="L47" s="333">
        <v>10</v>
      </c>
      <c r="M47" s="19">
        <f t="shared" si="32"/>
        <v>2862.2399999999993</v>
      </c>
      <c r="N47" s="19">
        <f t="shared" si="3"/>
        <v>286.22399999999993</v>
      </c>
      <c r="O47" s="20">
        <f t="shared" si="4"/>
        <v>0</v>
      </c>
      <c r="P47" s="21">
        <f t="shared" si="5"/>
        <v>-13.776000000000067</v>
      </c>
      <c r="Q47" s="331">
        <f t="shared" si="6"/>
        <v>0.95407999999999982</v>
      </c>
      <c r="R47" s="585"/>
      <c r="S47" s="49">
        <v>0.23888888888888882</v>
      </c>
      <c r="T47" s="49">
        <v>0.3256944444444444</v>
      </c>
      <c r="U47" s="330">
        <f t="shared" si="34"/>
        <v>4.9999999999999822</v>
      </c>
      <c r="V47" s="334">
        <f t="shared" si="33"/>
        <v>125.00000000000003</v>
      </c>
      <c r="W47" s="25"/>
      <c r="X47" s="25"/>
      <c r="Y47" s="28"/>
      <c r="Z47" s="28"/>
      <c r="AA47" s="568"/>
      <c r="AB47" s="569"/>
      <c r="AC47" s="50"/>
      <c r="AD47" s="27"/>
      <c r="AE47" s="20">
        <f t="shared" si="8"/>
        <v>-137.76000000000067</v>
      </c>
      <c r="AF47" s="331">
        <f t="shared" si="9"/>
        <v>0.95407999999999982</v>
      </c>
      <c r="AG47" s="585"/>
    </row>
    <row r="48" spans="1:33" ht="15.75" customHeight="1">
      <c r="A48" s="590" t="s">
        <v>61</v>
      </c>
      <c r="B48" s="39" t="s">
        <v>104</v>
      </c>
      <c r="C48" s="566" t="s">
        <v>108</v>
      </c>
      <c r="D48" s="567"/>
      <c r="E48" s="39">
        <v>27.17</v>
      </c>
      <c r="F48" s="335">
        <v>7533</v>
      </c>
      <c r="G48" s="330">
        <f t="shared" si="31"/>
        <v>204671.61000000002</v>
      </c>
      <c r="H48" s="48" t="s">
        <v>126</v>
      </c>
      <c r="I48" s="333">
        <v>10</v>
      </c>
      <c r="J48" s="43">
        <v>3000</v>
      </c>
      <c r="K48" s="18">
        <f t="shared" si="1"/>
        <v>300</v>
      </c>
      <c r="L48" s="333">
        <v>10</v>
      </c>
      <c r="M48" s="19">
        <f t="shared" si="32"/>
        <v>2860.6329113924048</v>
      </c>
      <c r="N48" s="19">
        <f t="shared" si="3"/>
        <v>286.0632911392405</v>
      </c>
      <c r="O48" s="20">
        <f t="shared" si="4"/>
        <v>0</v>
      </c>
      <c r="P48" s="21">
        <f t="shared" si="5"/>
        <v>-13.936708860759495</v>
      </c>
      <c r="Q48" s="331">
        <f t="shared" si="6"/>
        <v>0.95354430379746835</v>
      </c>
      <c r="R48" s="585"/>
      <c r="S48" s="49">
        <v>0.33124999999999993</v>
      </c>
      <c r="T48" s="49">
        <v>0.44097222222222215</v>
      </c>
      <c r="U48" s="330">
        <f t="shared" si="34"/>
        <v>7.9999999999999716</v>
      </c>
      <c r="V48" s="334">
        <f t="shared" si="33"/>
        <v>158</v>
      </c>
      <c r="W48" s="25"/>
      <c r="X48" s="25"/>
      <c r="Y48" s="28"/>
      <c r="Z48" s="28"/>
      <c r="AA48" s="568"/>
      <c r="AB48" s="569"/>
      <c r="AC48" s="50"/>
      <c r="AD48" s="27"/>
      <c r="AE48" s="20">
        <f t="shared" si="8"/>
        <v>-139.36708860759518</v>
      </c>
      <c r="AF48" s="331">
        <f t="shared" si="9"/>
        <v>0.95354430379746824</v>
      </c>
      <c r="AG48" s="585"/>
    </row>
    <row r="49" spans="1:33" ht="15.75" customHeight="1">
      <c r="A49" s="591" t="s">
        <v>1956</v>
      </c>
      <c r="B49" s="39" t="s">
        <v>46</v>
      </c>
      <c r="C49" s="570"/>
      <c r="D49" s="571"/>
      <c r="E49" s="328"/>
      <c r="F49" s="335"/>
      <c r="G49" s="330"/>
      <c r="H49" s="335"/>
      <c r="I49" s="32">
        <v>10.75</v>
      </c>
      <c r="J49" s="43">
        <v>2750</v>
      </c>
      <c r="K49" s="18">
        <f t="shared" si="1"/>
        <v>255.81395348837211</v>
      </c>
      <c r="L49" s="32">
        <v>10.75</v>
      </c>
      <c r="M49" s="19">
        <f>AVERAGE(M45:M48)</f>
        <v>2623.9799935643496</v>
      </c>
      <c r="N49" s="18">
        <f t="shared" si="3"/>
        <v>244.09116219203253</v>
      </c>
      <c r="O49" s="20">
        <f t="shared" si="4"/>
        <v>0</v>
      </c>
      <c r="P49" s="21">
        <f t="shared" si="5"/>
        <v>-11.72279129633958</v>
      </c>
      <c r="Q49" s="331">
        <f t="shared" si="6"/>
        <v>0.95417454311430894</v>
      </c>
      <c r="R49" s="586"/>
      <c r="S49" s="49"/>
      <c r="T49" s="49"/>
      <c r="U49" s="330"/>
      <c r="V49" s="334"/>
      <c r="W49" s="25"/>
      <c r="X49" s="25"/>
      <c r="Y49" s="33">
        <f>SUM(Y45:Y48)</f>
        <v>0</v>
      </c>
      <c r="Z49" s="33">
        <f>SUM(Z45:Z48)</f>
        <v>0</v>
      </c>
      <c r="AA49" s="587"/>
      <c r="AB49" s="588"/>
      <c r="AC49" s="33">
        <v>4</v>
      </c>
      <c r="AD49" s="33">
        <f>SUM(AD45:AD48)</f>
        <v>0</v>
      </c>
      <c r="AE49" s="20">
        <f t="shared" si="8"/>
        <v>-126.02000643565043</v>
      </c>
      <c r="AF49" s="331">
        <f t="shared" si="9"/>
        <v>0.95417454311430894</v>
      </c>
      <c r="AG49" s="586"/>
    </row>
    <row r="50" spans="1:33" ht="15.75" customHeight="1">
      <c r="A50" s="582" t="s">
        <v>63</v>
      </c>
      <c r="B50" s="39" t="s">
        <v>79</v>
      </c>
      <c r="C50" s="574" t="s">
        <v>109</v>
      </c>
      <c r="D50" s="574"/>
      <c r="E50" s="39">
        <v>46</v>
      </c>
      <c r="F50" s="45">
        <v>2416</v>
      </c>
      <c r="G50" s="330">
        <f t="shared" ref="G50:G58" si="35">E50*F50</f>
        <v>111136</v>
      </c>
      <c r="H50" s="48" t="s">
        <v>126</v>
      </c>
      <c r="I50" s="333">
        <v>16</v>
      </c>
      <c r="J50" s="43">
        <v>2000</v>
      </c>
      <c r="K50" s="18">
        <f t="shared" si="1"/>
        <v>125</v>
      </c>
      <c r="L50" s="333">
        <v>16</v>
      </c>
      <c r="M50" s="19">
        <f t="shared" ref="M50" si="36">F50/V50*60</f>
        <v>1907.3684210526312</v>
      </c>
      <c r="N50" s="19">
        <f t="shared" si="3"/>
        <v>119.21052631578945</v>
      </c>
      <c r="O50" s="20">
        <f t="shared" si="4"/>
        <v>0</v>
      </c>
      <c r="P50" s="21">
        <f t="shared" si="5"/>
        <v>-5.7894736842105488</v>
      </c>
      <c r="Q50" s="331">
        <f t="shared" si="6"/>
        <v>0.95368421052631558</v>
      </c>
      <c r="R50" s="573">
        <f>Q59</f>
        <v>0.95774546321533516</v>
      </c>
      <c r="S50" s="49">
        <v>0.20833333333333334</v>
      </c>
      <c r="T50" s="49">
        <v>0.26111111111111113</v>
      </c>
      <c r="U50" s="30"/>
      <c r="V50" s="334">
        <f t="shared" ref="V50:V58" si="37">(T50-S50)*24*60</f>
        <v>76.000000000000014</v>
      </c>
      <c r="W50" s="30"/>
      <c r="X50" s="30"/>
      <c r="Y50" s="30"/>
      <c r="Z50" s="30"/>
      <c r="AA50" s="575"/>
      <c r="AB50" s="575"/>
      <c r="AC50" s="50">
        <v>9</v>
      </c>
      <c r="AD50" s="27"/>
      <c r="AE50" s="20">
        <f t="shared" si="8"/>
        <v>-92.63157894736878</v>
      </c>
      <c r="AF50" s="331">
        <f t="shared" si="9"/>
        <v>0.95368421052631558</v>
      </c>
      <c r="AG50" s="573">
        <f>AF59</f>
        <v>0.95774546321533516</v>
      </c>
    </row>
    <row r="51" spans="1:33" ht="15.75" customHeight="1">
      <c r="A51" s="582" t="s">
        <v>63</v>
      </c>
      <c r="B51" s="39" t="s">
        <v>74</v>
      </c>
      <c r="C51" s="574" t="s">
        <v>110</v>
      </c>
      <c r="D51" s="574"/>
      <c r="E51" s="39">
        <v>56.43</v>
      </c>
      <c r="F51" s="45">
        <v>1647</v>
      </c>
      <c r="G51" s="330">
        <f t="shared" si="35"/>
        <v>92940.21</v>
      </c>
      <c r="H51" s="48" t="s">
        <v>126</v>
      </c>
      <c r="I51" s="333">
        <v>22</v>
      </c>
      <c r="J51" s="43">
        <v>2000</v>
      </c>
      <c r="K51" s="18">
        <f t="shared" si="1"/>
        <v>90.909090909090907</v>
      </c>
      <c r="L51" s="333">
        <v>22</v>
      </c>
      <c r="M51" s="19">
        <f>F51/V51*60</f>
        <v>1937.6470588235304</v>
      </c>
      <c r="N51" s="19">
        <f t="shared" si="3"/>
        <v>88.074866310160473</v>
      </c>
      <c r="O51" s="20">
        <f t="shared" si="4"/>
        <v>0</v>
      </c>
      <c r="P51" s="21">
        <f t="shared" si="5"/>
        <v>-2.8342245989304331</v>
      </c>
      <c r="Q51" s="331">
        <f t="shared" si="6"/>
        <v>0.96882352941176519</v>
      </c>
      <c r="R51" s="573"/>
      <c r="S51" s="49">
        <v>0.26458333333333334</v>
      </c>
      <c r="T51" s="49">
        <v>0.3</v>
      </c>
      <c r="U51" s="330">
        <f t="shared" ref="U51:U58" si="38">IF(S51=TIME(17,0,0),"",(S51-T50)*24*60)</f>
        <v>4.9999999999999822</v>
      </c>
      <c r="V51" s="334">
        <f t="shared" si="37"/>
        <v>50.999999999999979</v>
      </c>
      <c r="W51" s="25"/>
      <c r="X51" s="25"/>
      <c r="Y51" s="25"/>
      <c r="Z51" s="25"/>
      <c r="AA51" s="575"/>
      <c r="AB51" s="575"/>
      <c r="AC51" s="50"/>
      <c r="AD51" s="27"/>
      <c r="AE51" s="20">
        <f t="shared" si="8"/>
        <v>-62.352941176469585</v>
      </c>
      <c r="AF51" s="331">
        <f t="shared" si="9"/>
        <v>0.96882352941176519</v>
      </c>
      <c r="AG51" s="573"/>
    </row>
    <row r="52" spans="1:33" ht="15.75" customHeight="1">
      <c r="A52" s="582" t="s">
        <v>63</v>
      </c>
      <c r="B52" s="39" t="s">
        <v>74</v>
      </c>
      <c r="C52" s="566" t="s">
        <v>111</v>
      </c>
      <c r="D52" s="567"/>
      <c r="E52" s="39">
        <v>51.75</v>
      </c>
      <c r="F52" s="45">
        <v>903</v>
      </c>
      <c r="G52" s="330">
        <f t="shared" si="35"/>
        <v>46730.25</v>
      </c>
      <c r="H52" s="48" t="s">
        <v>126</v>
      </c>
      <c r="I52" s="333">
        <v>25</v>
      </c>
      <c r="J52" s="43">
        <v>2000</v>
      </c>
      <c r="K52" s="18">
        <f t="shared" si="1"/>
        <v>80</v>
      </c>
      <c r="L52" s="333">
        <v>25</v>
      </c>
      <c r="M52" s="19">
        <f t="shared" ref="M52:M58" si="39">F52/V52*60</f>
        <v>1935.0000000000014</v>
      </c>
      <c r="N52" s="19">
        <f t="shared" si="3"/>
        <v>77.400000000000048</v>
      </c>
      <c r="O52" s="20">
        <f t="shared" si="4"/>
        <v>0</v>
      </c>
      <c r="P52" s="21">
        <f t="shared" si="5"/>
        <v>-2.5999999999999517</v>
      </c>
      <c r="Q52" s="331">
        <f t="shared" si="6"/>
        <v>0.96750000000000058</v>
      </c>
      <c r="R52" s="573"/>
      <c r="S52" s="49">
        <v>0.30416666666666664</v>
      </c>
      <c r="T52" s="49">
        <v>0.32361111111111107</v>
      </c>
      <c r="U52" s="330">
        <f t="shared" si="38"/>
        <v>5.9999999999999787</v>
      </c>
      <c r="V52" s="334">
        <f t="shared" si="37"/>
        <v>27.999999999999979</v>
      </c>
      <c r="W52" s="25"/>
      <c r="X52" s="25"/>
      <c r="Y52" s="28"/>
      <c r="Z52" s="28"/>
      <c r="AA52" s="575"/>
      <c r="AB52" s="575"/>
      <c r="AC52" s="50"/>
      <c r="AD52" s="27"/>
      <c r="AE52" s="20">
        <f t="shared" si="8"/>
        <v>-64.999999999998636</v>
      </c>
      <c r="AF52" s="331">
        <f t="shared" si="9"/>
        <v>0.96750000000000069</v>
      </c>
      <c r="AG52" s="573"/>
    </row>
    <row r="53" spans="1:33" ht="15.75" customHeight="1">
      <c r="A53" s="582" t="s">
        <v>1957</v>
      </c>
      <c r="B53" s="39" t="s">
        <v>74</v>
      </c>
      <c r="C53" s="324" t="s">
        <v>88</v>
      </c>
      <c r="D53" s="325"/>
      <c r="E53" s="39">
        <v>59.04</v>
      </c>
      <c r="F53" s="45">
        <v>4262</v>
      </c>
      <c r="G53" s="330">
        <f t="shared" si="35"/>
        <v>251628.48</v>
      </c>
      <c r="H53" s="48" t="s">
        <v>126</v>
      </c>
      <c r="I53" s="333">
        <v>19</v>
      </c>
      <c r="J53" s="43">
        <v>2000</v>
      </c>
      <c r="K53" s="18">
        <f t="shared" si="1"/>
        <v>105.26315789473684</v>
      </c>
      <c r="L53" s="333">
        <v>19</v>
      </c>
      <c r="M53" s="19">
        <f t="shared" si="39"/>
        <v>1908.358208955224</v>
      </c>
      <c r="N53" s="19">
        <f t="shared" si="3"/>
        <v>100.43990573448548</v>
      </c>
      <c r="O53" s="20">
        <f t="shared" si="4"/>
        <v>0</v>
      </c>
      <c r="P53" s="21">
        <f t="shared" si="5"/>
        <v>-4.8232521602513572</v>
      </c>
      <c r="Q53" s="331">
        <f t="shared" si="6"/>
        <v>0.95417910447761212</v>
      </c>
      <c r="R53" s="573"/>
      <c r="S53" s="49">
        <v>0.32916666666666661</v>
      </c>
      <c r="T53" s="49">
        <v>0.42222222222222217</v>
      </c>
      <c r="U53" s="330">
        <f t="shared" si="38"/>
        <v>7.9999999999999716</v>
      </c>
      <c r="V53" s="334">
        <f t="shared" si="37"/>
        <v>134</v>
      </c>
      <c r="W53" s="25"/>
      <c r="X53" s="25"/>
      <c r="Y53" s="28"/>
      <c r="Z53" s="28"/>
      <c r="AA53" s="575"/>
      <c r="AB53" s="575"/>
      <c r="AC53" s="50"/>
      <c r="AD53" s="27"/>
      <c r="AE53" s="20">
        <f t="shared" si="8"/>
        <v>-91.641791044776028</v>
      </c>
      <c r="AF53" s="331">
        <f t="shared" si="9"/>
        <v>0.95417910447761201</v>
      </c>
      <c r="AG53" s="573"/>
    </row>
    <row r="54" spans="1:33" ht="15.75" customHeight="1">
      <c r="A54" s="582" t="s">
        <v>63</v>
      </c>
      <c r="B54" s="39" t="s">
        <v>79</v>
      </c>
      <c r="C54" s="324" t="s">
        <v>1233</v>
      </c>
      <c r="D54" s="325"/>
      <c r="E54" s="39">
        <v>46</v>
      </c>
      <c r="F54" s="45">
        <v>3518</v>
      </c>
      <c r="G54" s="330">
        <f t="shared" si="35"/>
        <v>161828</v>
      </c>
      <c r="H54" s="48" t="s">
        <v>126</v>
      </c>
      <c r="I54" s="333">
        <v>16</v>
      </c>
      <c r="J54" s="43">
        <v>2000</v>
      </c>
      <c r="K54" s="18">
        <f t="shared" si="1"/>
        <v>125</v>
      </c>
      <c r="L54" s="333">
        <v>16</v>
      </c>
      <c r="M54" s="19">
        <f t="shared" si="39"/>
        <v>1901.6216216216203</v>
      </c>
      <c r="N54" s="19">
        <f t="shared" si="3"/>
        <v>118.85135135135127</v>
      </c>
      <c r="O54" s="20">
        <f t="shared" si="4"/>
        <v>0</v>
      </c>
      <c r="P54" s="21">
        <f t="shared" si="5"/>
        <v>-6.1486486486487308</v>
      </c>
      <c r="Q54" s="331">
        <f t="shared" si="6"/>
        <v>0.9508108108108102</v>
      </c>
      <c r="R54" s="573"/>
      <c r="S54" s="49">
        <v>0.42708333333333326</v>
      </c>
      <c r="T54" s="49">
        <v>0.50416666666666665</v>
      </c>
      <c r="U54" s="330">
        <f t="shared" si="38"/>
        <v>6.9999999999999751</v>
      </c>
      <c r="V54" s="334">
        <f t="shared" si="37"/>
        <v>111.00000000000009</v>
      </c>
      <c r="W54" s="25"/>
      <c r="X54" s="25"/>
      <c r="Y54" s="28"/>
      <c r="Z54" s="28"/>
      <c r="AA54" s="575"/>
      <c r="AB54" s="575"/>
      <c r="AC54" s="50"/>
      <c r="AD54" s="27"/>
      <c r="AE54" s="20">
        <f t="shared" si="8"/>
        <v>-98.378378378379693</v>
      </c>
      <c r="AF54" s="331">
        <f t="shared" si="9"/>
        <v>0.9508108108108102</v>
      </c>
      <c r="AG54" s="573"/>
    </row>
    <row r="55" spans="1:33" ht="15.75" customHeight="1">
      <c r="A55" s="582" t="s">
        <v>63</v>
      </c>
      <c r="B55" s="39" t="s">
        <v>74</v>
      </c>
      <c r="C55" s="566" t="s">
        <v>113</v>
      </c>
      <c r="D55" s="567"/>
      <c r="E55" s="39">
        <v>55.56</v>
      </c>
      <c r="F55" s="45">
        <v>2358</v>
      </c>
      <c r="G55" s="330">
        <f t="shared" si="35"/>
        <v>131010.48000000001</v>
      </c>
      <c r="H55" s="48" t="s">
        <v>126</v>
      </c>
      <c r="I55" s="333">
        <v>17</v>
      </c>
      <c r="J55" s="43">
        <v>2000</v>
      </c>
      <c r="K55" s="18">
        <f t="shared" si="1"/>
        <v>117.64705882352941</v>
      </c>
      <c r="L55" s="333">
        <v>17</v>
      </c>
      <c r="M55" s="19">
        <f t="shared" si="39"/>
        <v>1911.8918918918905</v>
      </c>
      <c r="N55" s="19">
        <f t="shared" si="3"/>
        <v>112.46422893481709</v>
      </c>
      <c r="O55" s="20">
        <f t="shared" si="4"/>
        <v>0</v>
      </c>
      <c r="P55" s="21">
        <f t="shared" si="5"/>
        <v>-5.1828298887123196</v>
      </c>
      <c r="Q55" s="331">
        <f t="shared" si="6"/>
        <v>0.95594594594594529</v>
      </c>
      <c r="R55" s="573"/>
      <c r="S55" s="49">
        <v>0.70833333333333337</v>
      </c>
      <c r="T55" s="49">
        <v>0.7597222222222223</v>
      </c>
      <c r="U55" s="330" t="str">
        <f t="shared" si="38"/>
        <v/>
      </c>
      <c r="V55" s="334">
        <f t="shared" si="37"/>
        <v>74.000000000000057</v>
      </c>
      <c r="W55" s="25"/>
      <c r="X55" s="25"/>
      <c r="Y55" s="28"/>
      <c r="Z55" s="28"/>
      <c r="AA55" s="568"/>
      <c r="AB55" s="569"/>
      <c r="AC55" s="50"/>
      <c r="AD55" s="27"/>
      <c r="AE55" s="20">
        <f t="shared" si="8"/>
        <v>-88.108108108109491</v>
      </c>
      <c r="AF55" s="331">
        <f t="shared" si="9"/>
        <v>0.95594594594594529</v>
      </c>
      <c r="AG55" s="573"/>
    </row>
    <row r="56" spans="1:33" ht="15.75" customHeight="1">
      <c r="A56" s="582" t="s">
        <v>63</v>
      </c>
      <c r="B56" s="39" t="s">
        <v>74</v>
      </c>
      <c r="C56" s="566" t="s">
        <v>114</v>
      </c>
      <c r="D56" s="567"/>
      <c r="E56" s="39">
        <v>54.29</v>
      </c>
      <c r="F56" s="45">
        <v>1127</v>
      </c>
      <c r="G56" s="330">
        <f t="shared" si="35"/>
        <v>61184.83</v>
      </c>
      <c r="H56" s="48" t="s">
        <v>126</v>
      </c>
      <c r="I56" s="333">
        <v>20</v>
      </c>
      <c r="J56" s="43">
        <v>2000</v>
      </c>
      <c r="K56" s="18">
        <f t="shared" si="1"/>
        <v>100</v>
      </c>
      <c r="L56" s="333">
        <v>20</v>
      </c>
      <c r="M56" s="19">
        <f t="shared" si="39"/>
        <v>1931.999999999998</v>
      </c>
      <c r="N56" s="19">
        <f t="shared" si="3"/>
        <v>96.599999999999895</v>
      </c>
      <c r="O56" s="20">
        <f t="shared" si="4"/>
        <v>0</v>
      </c>
      <c r="P56" s="21">
        <f t="shared" si="5"/>
        <v>-3.4000000000001052</v>
      </c>
      <c r="Q56" s="331">
        <f t="shared" si="6"/>
        <v>0.96599999999999897</v>
      </c>
      <c r="R56" s="573"/>
      <c r="S56" s="49">
        <v>0.76319444444444451</v>
      </c>
      <c r="T56" s="49">
        <v>0.78750000000000009</v>
      </c>
      <c r="U56" s="330">
        <f t="shared" si="38"/>
        <v>4.9999999999999822</v>
      </c>
      <c r="V56" s="334">
        <f t="shared" si="37"/>
        <v>35.000000000000036</v>
      </c>
      <c r="W56" s="25"/>
      <c r="X56" s="25"/>
      <c r="Y56" s="28"/>
      <c r="Z56" s="28"/>
      <c r="AA56" s="568"/>
      <c r="AB56" s="569"/>
      <c r="AC56" s="50"/>
      <c r="AD56" s="27"/>
      <c r="AE56" s="20">
        <f t="shared" si="8"/>
        <v>-68.000000000002046</v>
      </c>
      <c r="AF56" s="331">
        <f t="shared" si="9"/>
        <v>0.96599999999999897</v>
      </c>
      <c r="AG56" s="573"/>
    </row>
    <row r="57" spans="1:33" ht="15.75" customHeight="1">
      <c r="A57" s="582" t="s">
        <v>63</v>
      </c>
      <c r="B57" s="39" t="s">
        <v>74</v>
      </c>
      <c r="C57" s="566" t="s">
        <v>1826</v>
      </c>
      <c r="D57" s="567"/>
      <c r="E57" s="39">
        <v>51.06</v>
      </c>
      <c r="F57" s="45">
        <v>2000</v>
      </c>
      <c r="G57" s="330">
        <f t="shared" si="35"/>
        <v>102120</v>
      </c>
      <c r="H57" s="48">
        <v>2</v>
      </c>
      <c r="I57" s="333">
        <v>13</v>
      </c>
      <c r="J57" s="43">
        <v>2000</v>
      </c>
      <c r="K57" s="18">
        <f t="shared" si="1"/>
        <v>153.84615384615384</v>
      </c>
      <c r="L57" s="333">
        <v>13</v>
      </c>
      <c r="M57" s="19">
        <f t="shared" si="39"/>
        <v>1904.7619047619066</v>
      </c>
      <c r="N57" s="19">
        <f t="shared" si="3"/>
        <v>146.52014652014665</v>
      </c>
      <c r="O57" s="20">
        <f t="shared" si="4"/>
        <v>0</v>
      </c>
      <c r="P57" s="21">
        <f t="shared" si="5"/>
        <v>-7.3260073260071863</v>
      </c>
      <c r="Q57" s="331">
        <f t="shared" si="6"/>
        <v>0.95238095238095333</v>
      </c>
      <c r="R57" s="573"/>
      <c r="S57" s="49">
        <v>0.7909722222222223</v>
      </c>
      <c r="T57" s="49">
        <v>0.83472222222222225</v>
      </c>
      <c r="U57" s="330">
        <f t="shared" si="38"/>
        <v>4.9999999999999822</v>
      </c>
      <c r="V57" s="334">
        <f t="shared" si="37"/>
        <v>62.999999999999936</v>
      </c>
      <c r="W57" s="25">
        <f>T57</f>
        <v>0.83472222222222225</v>
      </c>
      <c r="X57" s="25">
        <f>S58</f>
        <v>0.87569444444444444</v>
      </c>
      <c r="Y57" s="28"/>
      <c r="Z57" s="28"/>
      <c r="AA57" s="568"/>
      <c r="AB57" s="569"/>
      <c r="AC57" s="50"/>
      <c r="AD57" s="27"/>
      <c r="AE57" s="20">
        <f t="shared" si="8"/>
        <v>-95.238095238093365</v>
      </c>
      <c r="AF57" s="331">
        <f t="shared" si="9"/>
        <v>0.95238095238095333</v>
      </c>
      <c r="AG57" s="573"/>
    </row>
    <row r="58" spans="1:33">
      <c r="A58" s="582" t="s">
        <v>63</v>
      </c>
      <c r="B58" s="39" t="s">
        <v>74</v>
      </c>
      <c r="C58" s="324" t="s">
        <v>1826</v>
      </c>
      <c r="D58" s="325"/>
      <c r="E58" s="39">
        <v>51.06</v>
      </c>
      <c r="F58" s="45">
        <v>2471</v>
      </c>
      <c r="G58" s="330">
        <f t="shared" si="35"/>
        <v>126169.26000000001</v>
      </c>
      <c r="H58" s="48" t="s">
        <v>126</v>
      </c>
      <c r="I58" s="333">
        <v>13</v>
      </c>
      <c r="J58" s="43">
        <v>2000</v>
      </c>
      <c r="K58" s="18">
        <f t="shared" si="1"/>
        <v>153.84615384615384</v>
      </c>
      <c r="L58" s="333">
        <v>13</v>
      </c>
      <c r="M58" s="19">
        <f t="shared" si="39"/>
        <v>1900.7692307692296</v>
      </c>
      <c r="N58" s="19">
        <f t="shared" si="3"/>
        <v>146.21301775147919</v>
      </c>
      <c r="O58" s="20">
        <f t="shared" si="4"/>
        <v>0</v>
      </c>
      <c r="P58" s="21">
        <f t="shared" si="5"/>
        <v>-7.6331360946746543</v>
      </c>
      <c r="Q58" s="331">
        <f t="shared" si="6"/>
        <v>0.95038461538461472</v>
      </c>
      <c r="R58" s="573"/>
      <c r="S58" s="49">
        <v>0.87569444444444444</v>
      </c>
      <c r="T58" s="49">
        <v>0.92986111111111114</v>
      </c>
      <c r="U58" s="330">
        <f t="shared" si="38"/>
        <v>58.99999999999995</v>
      </c>
      <c r="V58" s="334">
        <f t="shared" si="37"/>
        <v>78.000000000000043</v>
      </c>
      <c r="W58" s="25"/>
      <c r="X58" s="25"/>
      <c r="Y58" s="28"/>
      <c r="Z58" s="28"/>
      <c r="AA58" s="326"/>
      <c r="AB58" s="327"/>
      <c r="AC58" s="50"/>
      <c r="AD58" s="27"/>
      <c r="AE58" s="20">
        <f t="shared" si="8"/>
        <v>-99.23076923077042</v>
      </c>
      <c r="AF58" s="331">
        <f t="shared" si="9"/>
        <v>0.95038461538461483</v>
      </c>
      <c r="AG58" s="573"/>
    </row>
    <row r="59" spans="1:33">
      <c r="A59" s="583" t="s">
        <v>63</v>
      </c>
      <c r="B59" s="39" t="s">
        <v>46</v>
      </c>
      <c r="C59" s="576"/>
      <c r="D59" s="576"/>
      <c r="E59" s="332"/>
      <c r="F59" s="42"/>
      <c r="G59" s="18"/>
      <c r="H59" s="335"/>
      <c r="I59" s="32">
        <v>17.888888888888889</v>
      </c>
      <c r="J59" s="43">
        <v>2000</v>
      </c>
      <c r="K59" s="18">
        <f t="shared" si="1"/>
        <v>111.80124223602485</v>
      </c>
      <c r="L59" s="32">
        <v>17.888888888888889</v>
      </c>
      <c r="M59" s="19">
        <f>AVERAGE(M50:M58)</f>
        <v>1915.4909264306702</v>
      </c>
      <c r="N59" s="18">
        <f t="shared" si="3"/>
        <v>107.07713253339151</v>
      </c>
      <c r="O59" s="20">
        <f t="shared" si="4"/>
        <v>0</v>
      </c>
      <c r="P59" s="21">
        <f t="shared" si="5"/>
        <v>-4.7241097026333421</v>
      </c>
      <c r="Q59" s="331">
        <f t="shared" si="6"/>
        <v>0.95774546321533516</v>
      </c>
      <c r="R59" s="573"/>
      <c r="S59" s="49"/>
      <c r="T59" s="49"/>
      <c r="U59" s="330"/>
      <c r="V59" s="334"/>
      <c r="W59" s="18"/>
      <c r="X59" s="18"/>
      <c r="Y59" s="33">
        <f>SUM(Y50:Y58)</f>
        <v>0</v>
      </c>
      <c r="Z59" s="33">
        <f>SUM(Z50:Z58)</f>
        <v>0</v>
      </c>
      <c r="AA59" s="572"/>
      <c r="AB59" s="572"/>
      <c r="AC59" s="33">
        <v>9</v>
      </c>
      <c r="AD59" s="33">
        <f>SUM(AD50:AD58)</f>
        <v>0</v>
      </c>
      <c r="AE59" s="20">
        <f>M59-J59</f>
        <v>-84.509073569329757</v>
      </c>
      <c r="AF59" s="331">
        <f t="shared" si="9"/>
        <v>0.95774546321533516</v>
      </c>
      <c r="AG59" s="573"/>
    </row>
    <row r="60" spans="1:33" ht="15.75" customHeight="1">
      <c r="A60" s="580" t="s">
        <v>1958</v>
      </c>
      <c r="B60" s="335" t="s">
        <v>104</v>
      </c>
      <c r="C60" s="574" t="s">
        <v>115</v>
      </c>
      <c r="D60" s="574"/>
      <c r="E60" s="39">
        <v>34.36</v>
      </c>
      <c r="F60" s="45">
        <v>2381</v>
      </c>
      <c r="G60" s="330">
        <f t="shared" ref="G60:G65" si="40">E60*F60</f>
        <v>81811.16</v>
      </c>
      <c r="H60" s="48" t="s">
        <v>126</v>
      </c>
      <c r="I60" s="333">
        <v>10</v>
      </c>
      <c r="J60" s="43">
        <v>3000</v>
      </c>
      <c r="K60" s="18">
        <f t="shared" si="1"/>
        <v>300</v>
      </c>
      <c r="L60" s="333">
        <v>10</v>
      </c>
      <c r="M60" s="19">
        <f t="shared" ref="M60:M65" si="41">F60/V60*60</f>
        <v>2857.1999999999989</v>
      </c>
      <c r="N60" s="18">
        <f t="shared" si="3"/>
        <v>285.71999999999991</v>
      </c>
      <c r="O60" s="20">
        <f t="shared" si="4"/>
        <v>0</v>
      </c>
      <c r="P60" s="21">
        <f t="shared" si="5"/>
        <v>-14.280000000000086</v>
      </c>
      <c r="Q60" s="331">
        <f t="shared" si="6"/>
        <v>0.95239999999999969</v>
      </c>
      <c r="R60" s="573">
        <f>Q66</f>
        <v>0.95975855981331804</v>
      </c>
      <c r="S60" s="49">
        <v>0.20833333333333334</v>
      </c>
      <c r="T60" s="49">
        <v>0.24305555555555558</v>
      </c>
      <c r="U60" s="330"/>
      <c r="V60" s="334">
        <f t="shared" ref="V60:V65" si="42">(T60-S60)*24*60</f>
        <v>50.000000000000021</v>
      </c>
      <c r="W60" s="30"/>
      <c r="X60" s="30"/>
      <c r="Y60" s="30"/>
      <c r="Z60" s="30"/>
      <c r="AA60" s="575"/>
      <c r="AB60" s="575"/>
      <c r="AC60" s="50">
        <v>6</v>
      </c>
      <c r="AD60" s="27"/>
      <c r="AE60" s="20">
        <f t="shared" ref="AE60:AE75" si="43">M60-J60</f>
        <v>-142.80000000000109</v>
      </c>
      <c r="AF60" s="331">
        <f t="shared" si="9"/>
        <v>0.95239999999999969</v>
      </c>
      <c r="AG60" s="573">
        <f>AF66</f>
        <v>0.95975855981331815</v>
      </c>
    </row>
    <row r="61" spans="1:33" ht="15.75" customHeight="1">
      <c r="A61" s="580" t="s">
        <v>66</v>
      </c>
      <c r="B61" s="335" t="s">
        <v>104</v>
      </c>
      <c r="C61" s="574" t="s">
        <v>116</v>
      </c>
      <c r="D61" s="574"/>
      <c r="E61" s="39">
        <v>34.36</v>
      </c>
      <c r="F61" s="45">
        <v>1204</v>
      </c>
      <c r="G61" s="330">
        <f t="shared" si="40"/>
        <v>41369.440000000002</v>
      </c>
      <c r="H61" s="48" t="s">
        <v>126</v>
      </c>
      <c r="I61" s="333">
        <v>10</v>
      </c>
      <c r="J61" s="43">
        <v>3000</v>
      </c>
      <c r="K61" s="18">
        <f t="shared" si="1"/>
        <v>300</v>
      </c>
      <c r="L61" s="333">
        <v>10</v>
      </c>
      <c r="M61" s="19">
        <f t="shared" si="41"/>
        <v>2889.5999999999963</v>
      </c>
      <c r="N61" s="18">
        <f t="shared" si="3"/>
        <v>288.95999999999964</v>
      </c>
      <c r="O61" s="20">
        <f t="shared" si="4"/>
        <v>0</v>
      </c>
      <c r="P61" s="21">
        <f t="shared" si="5"/>
        <v>-11.040000000000362</v>
      </c>
      <c r="Q61" s="331">
        <f t="shared" si="6"/>
        <v>0.96319999999999883</v>
      </c>
      <c r="R61" s="573"/>
      <c r="S61" s="49">
        <v>0.2479166666666667</v>
      </c>
      <c r="T61" s="49">
        <v>0.26527777777777783</v>
      </c>
      <c r="U61" s="330">
        <f t="shared" ref="U61:U65" si="44">(S61-T60)*24*60</f>
        <v>7.0000000000000151</v>
      </c>
      <c r="V61" s="334">
        <f t="shared" si="42"/>
        <v>25.000000000000032</v>
      </c>
      <c r="W61" s="330"/>
      <c r="X61" s="330"/>
      <c r="Y61" s="330"/>
      <c r="Z61" s="330"/>
      <c r="AA61" s="575"/>
      <c r="AB61" s="575"/>
      <c r="AC61" s="50"/>
      <c r="AD61" s="27"/>
      <c r="AE61" s="20">
        <f t="shared" si="43"/>
        <v>-110.40000000000373</v>
      </c>
      <c r="AF61" s="331">
        <f t="shared" si="9"/>
        <v>0.96319999999999872</v>
      </c>
      <c r="AG61" s="573"/>
    </row>
    <row r="62" spans="1:33" ht="15.75" customHeight="1">
      <c r="A62" s="580" t="s">
        <v>66</v>
      </c>
      <c r="B62" s="335" t="s">
        <v>104</v>
      </c>
      <c r="C62" s="574" t="s">
        <v>117</v>
      </c>
      <c r="D62" s="574"/>
      <c r="E62" s="39">
        <v>26.78</v>
      </c>
      <c r="F62" s="45">
        <v>2581</v>
      </c>
      <c r="G62" s="330">
        <f t="shared" si="40"/>
        <v>69119.180000000008</v>
      </c>
      <c r="H62" s="48" t="s">
        <v>126</v>
      </c>
      <c r="I62" s="333">
        <v>10</v>
      </c>
      <c r="J62" s="43">
        <v>3000</v>
      </c>
      <c r="K62" s="18">
        <f t="shared" si="1"/>
        <v>300</v>
      </c>
      <c r="L62" s="333">
        <v>10</v>
      </c>
      <c r="M62" s="19">
        <f t="shared" si="41"/>
        <v>2867.7777777777792</v>
      </c>
      <c r="N62" s="18">
        <f t="shared" si="3"/>
        <v>286.77777777777794</v>
      </c>
      <c r="O62" s="20">
        <f t="shared" si="4"/>
        <v>0</v>
      </c>
      <c r="P62" s="21">
        <f t="shared" si="5"/>
        <v>-13.222222222222058</v>
      </c>
      <c r="Q62" s="331">
        <f t="shared" si="6"/>
        <v>0.95592592592592651</v>
      </c>
      <c r="R62" s="573"/>
      <c r="S62" s="49">
        <v>0.27013888888888893</v>
      </c>
      <c r="T62" s="49">
        <v>0.30763888888888891</v>
      </c>
      <c r="U62" s="330">
        <f t="shared" si="44"/>
        <v>6.9999999999999751</v>
      </c>
      <c r="V62" s="334">
        <f t="shared" si="42"/>
        <v>53.999999999999972</v>
      </c>
      <c r="W62" s="330"/>
      <c r="X62" s="330"/>
      <c r="Y62" s="330"/>
      <c r="Z62" s="330"/>
      <c r="AA62" s="575"/>
      <c r="AB62" s="575"/>
      <c r="AC62" s="50"/>
      <c r="AD62" s="27"/>
      <c r="AE62" s="20">
        <f t="shared" si="43"/>
        <v>-132.22222222222081</v>
      </c>
      <c r="AF62" s="331">
        <f t="shared" si="9"/>
        <v>0.9559259259259264</v>
      </c>
      <c r="AG62" s="573"/>
    </row>
    <row r="63" spans="1:33" ht="15.75" customHeight="1">
      <c r="A63" s="580" t="s">
        <v>66</v>
      </c>
      <c r="B63" s="335" t="s">
        <v>104</v>
      </c>
      <c r="C63" s="574" t="s">
        <v>118</v>
      </c>
      <c r="D63" s="574"/>
      <c r="E63" s="39">
        <v>37.880000000000003</v>
      </c>
      <c r="F63" s="45">
        <v>1213</v>
      </c>
      <c r="G63" s="330">
        <f t="shared" si="40"/>
        <v>45948.44</v>
      </c>
      <c r="H63" s="48" t="s">
        <v>126</v>
      </c>
      <c r="I63" s="333">
        <v>10</v>
      </c>
      <c r="J63" s="43">
        <v>3000</v>
      </c>
      <c r="K63" s="18">
        <f t="shared" si="1"/>
        <v>300</v>
      </c>
      <c r="L63" s="333">
        <v>10</v>
      </c>
      <c r="M63" s="19">
        <f t="shared" si="41"/>
        <v>2911.2000000000012</v>
      </c>
      <c r="N63" s="18">
        <f t="shared" si="3"/>
        <v>291.12000000000012</v>
      </c>
      <c r="O63" s="20">
        <f t="shared" si="4"/>
        <v>0</v>
      </c>
      <c r="P63" s="21">
        <f t="shared" si="5"/>
        <v>-8.8799999999998818</v>
      </c>
      <c r="Q63" s="331">
        <f t="shared" si="6"/>
        <v>0.97040000000000037</v>
      </c>
      <c r="R63" s="573"/>
      <c r="S63" s="49">
        <v>0.31180555555555556</v>
      </c>
      <c r="T63" s="49">
        <v>0.32916666666666666</v>
      </c>
      <c r="U63" s="330">
        <f t="shared" si="44"/>
        <v>5.9999999999999787</v>
      </c>
      <c r="V63" s="334">
        <f t="shared" si="42"/>
        <v>24.999999999999993</v>
      </c>
      <c r="W63" s="330"/>
      <c r="X63" s="330"/>
      <c r="Y63" s="330"/>
      <c r="Z63" s="330"/>
      <c r="AA63" s="575"/>
      <c r="AB63" s="575"/>
      <c r="AC63" s="50"/>
      <c r="AD63" s="27"/>
      <c r="AE63" s="20">
        <f t="shared" si="43"/>
        <v>-88.799999999998818</v>
      </c>
      <c r="AF63" s="331">
        <f t="shared" si="9"/>
        <v>0.97040000000000037</v>
      </c>
      <c r="AG63" s="573"/>
    </row>
    <row r="64" spans="1:33">
      <c r="A64" s="581" t="s">
        <v>66</v>
      </c>
      <c r="B64" s="335" t="s">
        <v>104</v>
      </c>
      <c r="C64" s="574" t="s">
        <v>119</v>
      </c>
      <c r="D64" s="574"/>
      <c r="E64" s="39">
        <v>35.869999999999997</v>
      </c>
      <c r="F64" s="45">
        <v>4108</v>
      </c>
      <c r="G64" s="330">
        <f t="shared" si="40"/>
        <v>147353.96</v>
      </c>
      <c r="H64" s="48" t="s">
        <v>126</v>
      </c>
      <c r="I64" s="333">
        <v>9</v>
      </c>
      <c r="J64" s="43">
        <v>3000</v>
      </c>
      <c r="K64" s="18">
        <f t="shared" si="1"/>
        <v>333.33333333333331</v>
      </c>
      <c r="L64" s="333">
        <v>9</v>
      </c>
      <c r="M64" s="19">
        <f t="shared" si="41"/>
        <v>2866.0465116279065</v>
      </c>
      <c r="N64" s="18">
        <f t="shared" si="3"/>
        <v>318.44961240310073</v>
      </c>
      <c r="O64" s="20">
        <f t="shared" si="4"/>
        <v>0</v>
      </c>
      <c r="P64" s="21">
        <f t="shared" si="5"/>
        <v>-14.883720930232585</v>
      </c>
      <c r="Q64" s="331">
        <f t="shared" si="6"/>
        <v>0.95534883720930219</v>
      </c>
      <c r="R64" s="573"/>
      <c r="S64" s="49">
        <v>0.33263888888888887</v>
      </c>
      <c r="T64" s="49">
        <v>0.3923611111111111</v>
      </c>
      <c r="U64" s="330">
        <f t="shared" si="44"/>
        <v>4.9999999999999822</v>
      </c>
      <c r="V64" s="334">
        <f t="shared" si="42"/>
        <v>86.000000000000014</v>
      </c>
      <c r="W64" s="25"/>
      <c r="X64" s="25"/>
      <c r="Y64" s="25"/>
      <c r="Z64" s="25"/>
      <c r="AA64" s="575"/>
      <c r="AB64" s="575"/>
      <c r="AC64" s="50"/>
      <c r="AD64" s="27"/>
      <c r="AE64" s="20">
        <f t="shared" si="43"/>
        <v>-133.95348837209349</v>
      </c>
      <c r="AF64" s="331">
        <f t="shared" si="9"/>
        <v>0.95534883720930219</v>
      </c>
      <c r="AG64" s="573"/>
    </row>
    <row r="65" spans="1:33" ht="15" customHeight="1">
      <c r="A65" s="581" t="s">
        <v>66</v>
      </c>
      <c r="B65" s="335" t="s">
        <v>104</v>
      </c>
      <c r="C65" s="566" t="s">
        <v>120</v>
      </c>
      <c r="D65" s="567"/>
      <c r="E65" s="39">
        <v>34.35</v>
      </c>
      <c r="F65" s="45">
        <v>2259</v>
      </c>
      <c r="G65" s="330">
        <f t="shared" si="40"/>
        <v>77596.650000000009</v>
      </c>
      <c r="H65" s="48" t="s">
        <v>126</v>
      </c>
      <c r="I65" s="333">
        <v>8</v>
      </c>
      <c r="J65" s="43">
        <v>3000</v>
      </c>
      <c r="K65" s="18">
        <f t="shared" si="1"/>
        <v>375</v>
      </c>
      <c r="L65" s="333">
        <v>8</v>
      </c>
      <c r="M65" s="19">
        <f t="shared" si="41"/>
        <v>2883.8297872340431</v>
      </c>
      <c r="N65" s="18">
        <f t="shared" si="3"/>
        <v>360.47872340425539</v>
      </c>
      <c r="O65" s="20">
        <f t="shared" si="4"/>
        <v>0</v>
      </c>
      <c r="P65" s="21">
        <f t="shared" si="5"/>
        <v>-14.521276595744609</v>
      </c>
      <c r="Q65" s="331">
        <f t="shared" si="6"/>
        <v>0.96127659574468105</v>
      </c>
      <c r="R65" s="573"/>
      <c r="S65" s="49">
        <v>0.3972222222222222</v>
      </c>
      <c r="T65" s="49">
        <v>0.42986111111111108</v>
      </c>
      <c r="U65" s="330">
        <f t="shared" si="44"/>
        <v>6.9999999999999751</v>
      </c>
      <c r="V65" s="334">
        <f t="shared" si="42"/>
        <v>46.999999999999993</v>
      </c>
      <c r="W65" s="330"/>
      <c r="X65" s="330"/>
      <c r="Y65" s="326"/>
      <c r="Z65" s="326"/>
      <c r="AA65" s="568"/>
      <c r="AB65" s="569"/>
      <c r="AC65" s="50"/>
      <c r="AD65" s="27"/>
      <c r="AE65" s="20">
        <f t="shared" si="43"/>
        <v>-116.17021276595688</v>
      </c>
      <c r="AF65" s="331">
        <f t="shared" si="9"/>
        <v>0.96127659574468105</v>
      </c>
      <c r="AG65" s="573"/>
    </row>
    <row r="66" spans="1:33">
      <c r="A66" s="581" t="s">
        <v>66</v>
      </c>
      <c r="B66" s="39" t="s">
        <v>46</v>
      </c>
      <c r="C66" s="576"/>
      <c r="D66" s="576"/>
      <c r="E66" s="332"/>
      <c r="F66" s="42"/>
      <c r="G66" s="18"/>
      <c r="H66" s="335"/>
      <c r="I66" s="32">
        <v>9.5</v>
      </c>
      <c r="J66" s="43">
        <v>3000</v>
      </c>
      <c r="K66" s="18">
        <f t="shared" si="1"/>
        <v>315.78947368421052</v>
      </c>
      <c r="L66" s="32">
        <v>9.5</v>
      </c>
      <c r="M66" s="19">
        <f>AVERAGE(M60:M65)</f>
        <v>2879.2756794399543</v>
      </c>
      <c r="N66" s="18">
        <f t="shared" si="3"/>
        <v>303.0816504673636</v>
      </c>
      <c r="O66" s="20">
        <f t="shared" si="4"/>
        <v>0</v>
      </c>
      <c r="P66" s="21">
        <f t="shared" si="5"/>
        <v>-12.707823216846919</v>
      </c>
      <c r="Q66" s="331">
        <f t="shared" si="6"/>
        <v>0.95975855981331804</v>
      </c>
      <c r="R66" s="573"/>
      <c r="S66" s="49"/>
      <c r="T66" s="49"/>
      <c r="U66" s="18"/>
      <c r="V66" s="334"/>
      <c r="W66" s="18"/>
      <c r="X66" s="18"/>
      <c r="Y66" s="33">
        <f>SUM(Y60:Y65)</f>
        <v>0</v>
      </c>
      <c r="Z66" s="33">
        <f>SUM(Z60:Z65)</f>
        <v>0</v>
      </c>
      <c r="AA66" s="572"/>
      <c r="AB66" s="572"/>
      <c r="AC66" s="33">
        <v>6</v>
      </c>
      <c r="AD66" s="33">
        <f>SUM(AD60:AD65)</f>
        <v>0</v>
      </c>
      <c r="AE66" s="20">
        <f t="shared" si="43"/>
        <v>-120.72432056004573</v>
      </c>
      <c r="AF66" s="331">
        <f t="shared" si="9"/>
        <v>0.95975855981331815</v>
      </c>
      <c r="AG66" s="573"/>
    </row>
    <row r="67" spans="1:33" ht="15.75" customHeight="1">
      <c r="A67" s="577" t="s">
        <v>71</v>
      </c>
      <c r="B67" s="335" t="s">
        <v>94</v>
      </c>
      <c r="C67" s="574" t="s">
        <v>124</v>
      </c>
      <c r="D67" s="574"/>
      <c r="E67" s="39">
        <v>22.69</v>
      </c>
      <c r="F67" s="335">
        <v>2900</v>
      </c>
      <c r="G67" s="330">
        <f t="shared" ref="G67:G74" si="45">E67*F67</f>
        <v>65801</v>
      </c>
      <c r="H67" s="48">
        <v>2</v>
      </c>
      <c r="I67" s="333">
        <v>15</v>
      </c>
      <c r="J67" s="43">
        <v>2400</v>
      </c>
      <c r="K67" s="18">
        <f t="shared" si="1"/>
        <v>160</v>
      </c>
      <c r="L67" s="333">
        <v>15</v>
      </c>
      <c r="M67" s="19">
        <f t="shared" ref="M67:M74" si="46">F67/V67*60</f>
        <v>2289.4736842105262</v>
      </c>
      <c r="N67" s="18">
        <f t="shared" si="3"/>
        <v>152.63157894736841</v>
      </c>
      <c r="O67" s="20">
        <f t="shared" si="4"/>
        <v>0</v>
      </c>
      <c r="P67" s="21">
        <f t="shared" si="5"/>
        <v>-7.3684210526315894</v>
      </c>
      <c r="Q67" s="331">
        <f t="shared" si="6"/>
        <v>0.95394736842105254</v>
      </c>
      <c r="R67" s="573">
        <f>Q75</f>
        <v>0.95550899258928823</v>
      </c>
      <c r="S67" s="49">
        <v>8.3333333333333329E-2</v>
      </c>
      <c r="T67" s="49">
        <v>0.1361111111111111</v>
      </c>
      <c r="U67" s="30"/>
      <c r="V67" s="334">
        <f t="shared" ref="V67:V74" si="47">(T67-S67)*24*60</f>
        <v>76</v>
      </c>
      <c r="W67" s="25">
        <f>T67</f>
        <v>0.1361111111111111</v>
      </c>
      <c r="X67" s="25">
        <f>S68</f>
        <v>0.15625</v>
      </c>
      <c r="Y67" s="25"/>
      <c r="Z67" s="25"/>
      <c r="AA67" s="575"/>
      <c r="AB67" s="575"/>
      <c r="AC67" s="50">
        <v>8</v>
      </c>
      <c r="AD67" s="27"/>
      <c r="AE67" s="20">
        <f t="shared" si="43"/>
        <v>-110.52631578947376</v>
      </c>
      <c r="AF67" s="331">
        <f t="shared" si="9"/>
        <v>0.95394736842105265</v>
      </c>
      <c r="AG67" s="573">
        <f>AF75</f>
        <v>0.95550899258928823</v>
      </c>
    </row>
    <row r="68" spans="1:33" ht="15.75" customHeight="1">
      <c r="A68" s="578" t="s">
        <v>71</v>
      </c>
      <c r="B68" s="335" t="s">
        <v>94</v>
      </c>
      <c r="C68" s="574" t="s">
        <v>123</v>
      </c>
      <c r="D68" s="574"/>
      <c r="E68" s="39">
        <v>20.21</v>
      </c>
      <c r="F68" s="335">
        <v>3524</v>
      </c>
      <c r="G68" s="330">
        <f t="shared" si="45"/>
        <v>71220.040000000008</v>
      </c>
      <c r="H68" s="48" t="s">
        <v>126</v>
      </c>
      <c r="I68" s="333">
        <v>15</v>
      </c>
      <c r="J68" s="43">
        <v>2400</v>
      </c>
      <c r="K68" s="18">
        <f t="shared" si="1"/>
        <v>160</v>
      </c>
      <c r="L68" s="333">
        <v>15</v>
      </c>
      <c r="M68" s="19">
        <f t="shared" si="46"/>
        <v>2298.260869565217</v>
      </c>
      <c r="N68" s="18">
        <f t="shared" si="3"/>
        <v>153.21739130434781</v>
      </c>
      <c r="O68" s="20">
        <f t="shared" si="4"/>
        <v>0</v>
      </c>
      <c r="P68" s="21">
        <f t="shared" si="5"/>
        <v>-6.7826086956521863</v>
      </c>
      <c r="Q68" s="331">
        <f t="shared" si="6"/>
        <v>0.95760869565217388</v>
      </c>
      <c r="R68" s="573"/>
      <c r="S68" s="49">
        <v>0.15625</v>
      </c>
      <c r="T68" s="49">
        <v>0.22013888888888888</v>
      </c>
      <c r="U68" s="330">
        <f t="shared" ref="U68:U74" si="48">(S68-T67)*24*60</f>
        <v>29.000000000000018</v>
      </c>
      <c r="V68" s="334">
        <f t="shared" si="47"/>
        <v>92</v>
      </c>
      <c r="W68" s="25"/>
      <c r="X68" s="25"/>
      <c r="Y68" s="25"/>
      <c r="Z68" s="25"/>
      <c r="AA68" s="575"/>
      <c r="AB68" s="575"/>
      <c r="AC68" s="50"/>
      <c r="AD68" s="27"/>
      <c r="AE68" s="20">
        <f t="shared" si="43"/>
        <v>-101.73913043478296</v>
      </c>
      <c r="AF68" s="331">
        <f t="shared" si="9"/>
        <v>0.95760869565217377</v>
      </c>
      <c r="AG68" s="573"/>
    </row>
    <row r="69" spans="1:33" ht="15.75" customHeight="1">
      <c r="A69" s="578" t="s">
        <v>71</v>
      </c>
      <c r="B69" s="335" t="s">
        <v>94</v>
      </c>
      <c r="C69" s="574" t="s">
        <v>125</v>
      </c>
      <c r="D69" s="574"/>
      <c r="E69" s="39">
        <v>19.02</v>
      </c>
      <c r="F69" s="335">
        <v>6200</v>
      </c>
      <c r="G69" s="330">
        <f t="shared" si="45"/>
        <v>117924</v>
      </c>
      <c r="H69" s="48">
        <v>2</v>
      </c>
      <c r="I69" s="333">
        <v>14</v>
      </c>
      <c r="J69" s="43">
        <v>2400</v>
      </c>
      <c r="K69" s="18">
        <f t="shared" ref="K69:K75" si="49">J69/I69</f>
        <v>171.42857142857142</v>
      </c>
      <c r="L69" s="333">
        <v>14</v>
      </c>
      <c r="M69" s="19">
        <f t="shared" si="46"/>
        <v>2296.296296296297</v>
      </c>
      <c r="N69" s="18">
        <f t="shared" ref="N69:N75" si="50">M69/L69</f>
        <v>164.02116402116408</v>
      </c>
      <c r="O69" s="20">
        <f t="shared" ref="O69:O75" si="51">L69-I69</f>
        <v>0</v>
      </c>
      <c r="P69" s="21">
        <f t="shared" ref="P69:P75" si="52">N69-K69</f>
        <v>-7.4074074074073337</v>
      </c>
      <c r="Q69" s="331">
        <f t="shared" ref="Q69:Q75" si="53">N69/K69</f>
        <v>0.9567901234567906</v>
      </c>
      <c r="R69" s="573"/>
      <c r="S69" s="49">
        <v>0.22361111111111109</v>
      </c>
      <c r="T69" s="49">
        <v>0.33611111111111108</v>
      </c>
      <c r="U69" s="330">
        <f t="shared" si="48"/>
        <v>4.9999999999999822</v>
      </c>
      <c r="V69" s="334">
        <f t="shared" si="47"/>
        <v>161.99999999999997</v>
      </c>
      <c r="W69" s="25"/>
      <c r="X69" s="25"/>
      <c r="Y69" s="25"/>
      <c r="Z69" s="25"/>
      <c r="AA69" s="575"/>
      <c r="AB69" s="575"/>
      <c r="AC69" s="50"/>
      <c r="AD69" s="27"/>
      <c r="AE69" s="20">
        <f t="shared" si="43"/>
        <v>-103.70370370370301</v>
      </c>
      <c r="AF69" s="331">
        <f t="shared" ref="AF69:AF75" si="54">M69/J69</f>
        <v>0.95679012345679038</v>
      </c>
      <c r="AG69" s="573"/>
    </row>
    <row r="70" spans="1:33" ht="15.75" customHeight="1">
      <c r="A70" s="578" t="s">
        <v>1959</v>
      </c>
      <c r="B70" s="335" t="s">
        <v>94</v>
      </c>
      <c r="C70" s="574" t="s">
        <v>99</v>
      </c>
      <c r="D70" s="574"/>
      <c r="E70" s="39">
        <v>20.36</v>
      </c>
      <c r="F70" s="335">
        <v>3200</v>
      </c>
      <c r="G70" s="330">
        <f t="shared" si="45"/>
        <v>65152</v>
      </c>
      <c r="H70" s="48">
        <v>2</v>
      </c>
      <c r="I70" s="333">
        <v>17</v>
      </c>
      <c r="J70" s="43">
        <v>2400</v>
      </c>
      <c r="K70" s="18">
        <f t="shared" si="49"/>
        <v>141.1764705882353</v>
      </c>
      <c r="L70" s="333">
        <v>17</v>
      </c>
      <c r="M70" s="19">
        <f t="shared" si="46"/>
        <v>2285.7142857142849</v>
      </c>
      <c r="N70" s="18">
        <f t="shared" si="50"/>
        <v>134.45378151260499</v>
      </c>
      <c r="O70" s="20">
        <f t="shared" si="51"/>
        <v>0</v>
      </c>
      <c r="P70" s="21">
        <f t="shared" si="52"/>
        <v>-6.7226890756303135</v>
      </c>
      <c r="Q70" s="331">
        <f t="shared" si="53"/>
        <v>0.952380952380952</v>
      </c>
      <c r="R70" s="573"/>
      <c r="S70" s="49">
        <v>0.34027777777777773</v>
      </c>
      <c r="T70" s="49">
        <v>0.39861111111111108</v>
      </c>
      <c r="U70" s="330">
        <f t="shared" si="48"/>
        <v>5.9999999999999787</v>
      </c>
      <c r="V70" s="334">
        <f t="shared" si="47"/>
        <v>84.000000000000028</v>
      </c>
      <c r="W70" s="25"/>
      <c r="X70" s="25"/>
      <c r="Y70" s="25"/>
      <c r="Z70" s="25"/>
      <c r="AA70" s="575"/>
      <c r="AB70" s="575"/>
      <c r="AC70" s="50"/>
      <c r="AD70" s="27"/>
      <c r="AE70" s="20">
        <f t="shared" si="43"/>
        <v>-114.28571428571513</v>
      </c>
      <c r="AF70" s="331">
        <f t="shared" si="54"/>
        <v>0.952380952380952</v>
      </c>
      <c r="AG70" s="573"/>
    </row>
    <row r="71" spans="1:33" ht="15.75" customHeight="1">
      <c r="A71" s="578" t="s">
        <v>1960</v>
      </c>
      <c r="B71" s="335" t="s">
        <v>94</v>
      </c>
      <c r="C71" s="574" t="s">
        <v>1231</v>
      </c>
      <c r="D71" s="574"/>
      <c r="E71" s="39">
        <v>25.99</v>
      </c>
      <c r="F71" s="335">
        <v>3465</v>
      </c>
      <c r="G71" s="330">
        <f t="shared" si="45"/>
        <v>90055.349999999991</v>
      </c>
      <c r="H71" s="48" t="s">
        <v>126</v>
      </c>
      <c r="I71" s="333">
        <v>19</v>
      </c>
      <c r="J71" s="43">
        <v>2400</v>
      </c>
      <c r="K71" s="18">
        <f t="shared" si="49"/>
        <v>126.31578947368421</v>
      </c>
      <c r="L71" s="333">
        <v>19</v>
      </c>
      <c r="M71" s="19">
        <f t="shared" si="46"/>
        <v>2284.6153846153848</v>
      </c>
      <c r="N71" s="18">
        <f t="shared" si="50"/>
        <v>120.24291497975709</v>
      </c>
      <c r="O71" s="20">
        <f t="shared" si="51"/>
        <v>0</v>
      </c>
      <c r="P71" s="21">
        <f t="shared" si="52"/>
        <v>-6.0728744939271166</v>
      </c>
      <c r="Q71" s="331">
        <f t="shared" si="53"/>
        <v>0.95192307692307698</v>
      </c>
      <c r="R71" s="573"/>
      <c r="S71" s="49">
        <v>0.40277777777777773</v>
      </c>
      <c r="T71" s="49">
        <v>0.46597222222222218</v>
      </c>
      <c r="U71" s="330">
        <f t="shared" si="48"/>
        <v>5.9999999999999787</v>
      </c>
      <c r="V71" s="334">
        <f t="shared" si="47"/>
        <v>91</v>
      </c>
      <c r="W71" s="25">
        <f>T71</f>
        <v>0.46597222222222218</v>
      </c>
      <c r="X71" s="25">
        <f>S72</f>
        <v>0.50555555555555554</v>
      </c>
      <c r="Y71" s="25"/>
      <c r="Z71" s="25"/>
      <c r="AA71" s="575"/>
      <c r="AB71" s="575"/>
      <c r="AC71" s="50"/>
      <c r="AD71" s="27"/>
      <c r="AE71" s="20">
        <f t="shared" si="43"/>
        <v>-115.38461538461524</v>
      </c>
      <c r="AF71" s="331">
        <f t="shared" si="54"/>
        <v>0.95192307692307698</v>
      </c>
      <c r="AG71" s="573"/>
    </row>
    <row r="72" spans="1:33" ht="15.75" customHeight="1">
      <c r="A72" s="578" t="s">
        <v>71</v>
      </c>
      <c r="B72" s="335" t="s">
        <v>94</v>
      </c>
      <c r="C72" s="574" t="s">
        <v>125</v>
      </c>
      <c r="D72" s="574"/>
      <c r="E72" s="39">
        <v>19.02</v>
      </c>
      <c r="F72" s="335">
        <v>4852</v>
      </c>
      <c r="G72" s="330">
        <f t="shared" si="45"/>
        <v>92285.04</v>
      </c>
      <c r="H72" s="48" t="s">
        <v>126</v>
      </c>
      <c r="I72" s="333">
        <v>14</v>
      </c>
      <c r="J72" s="43">
        <v>2400</v>
      </c>
      <c r="K72" s="18">
        <f t="shared" si="49"/>
        <v>171.42857142857142</v>
      </c>
      <c r="L72" s="333">
        <v>14</v>
      </c>
      <c r="M72" s="19">
        <f t="shared" si="46"/>
        <v>2292.2834645669286</v>
      </c>
      <c r="N72" s="18">
        <f t="shared" si="50"/>
        <v>163.73453318335206</v>
      </c>
      <c r="O72" s="20">
        <f t="shared" si="51"/>
        <v>0</v>
      </c>
      <c r="P72" s="21">
        <f t="shared" si="52"/>
        <v>-7.6940382452193603</v>
      </c>
      <c r="Q72" s="331">
        <f t="shared" si="53"/>
        <v>0.9551181102362204</v>
      </c>
      <c r="R72" s="573"/>
      <c r="S72" s="49">
        <v>0.50555555555555554</v>
      </c>
      <c r="T72" s="49">
        <v>0.59375</v>
      </c>
      <c r="U72" s="330">
        <f t="shared" si="48"/>
        <v>57.000000000000036</v>
      </c>
      <c r="V72" s="334">
        <f t="shared" si="47"/>
        <v>127.00000000000003</v>
      </c>
      <c r="W72" s="25"/>
      <c r="X72" s="25"/>
      <c r="Y72" s="25"/>
      <c r="Z72" s="25"/>
      <c r="AA72" s="575"/>
      <c r="AB72" s="575"/>
      <c r="AC72" s="50"/>
      <c r="AD72" s="27"/>
      <c r="AE72" s="20">
        <f t="shared" si="43"/>
        <v>-107.71653543307139</v>
      </c>
      <c r="AF72" s="331">
        <f t="shared" si="54"/>
        <v>0.95511811023622029</v>
      </c>
      <c r="AG72" s="573"/>
    </row>
    <row r="73" spans="1:33" ht="15.75" customHeight="1">
      <c r="A73" s="578" t="s">
        <v>1959</v>
      </c>
      <c r="B73" s="335" t="s">
        <v>94</v>
      </c>
      <c r="C73" s="566" t="s">
        <v>99</v>
      </c>
      <c r="D73" s="567"/>
      <c r="E73" s="39">
        <v>20.36</v>
      </c>
      <c r="F73" s="335">
        <v>2419</v>
      </c>
      <c r="G73" s="330">
        <f t="shared" si="45"/>
        <v>49250.84</v>
      </c>
      <c r="H73" s="48" t="s">
        <v>126</v>
      </c>
      <c r="I73" s="333">
        <v>17</v>
      </c>
      <c r="J73" s="43">
        <v>2400</v>
      </c>
      <c r="K73" s="18">
        <f t="shared" si="49"/>
        <v>141.1764705882353</v>
      </c>
      <c r="L73" s="333">
        <v>17</v>
      </c>
      <c r="M73" s="19">
        <f t="shared" si="46"/>
        <v>2303.8095238095261</v>
      </c>
      <c r="N73" s="18">
        <f t="shared" si="50"/>
        <v>135.51820728291329</v>
      </c>
      <c r="O73" s="20">
        <f t="shared" si="51"/>
        <v>0</v>
      </c>
      <c r="P73" s="21">
        <f t="shared" si="52"/>
        <v>-5.6582633053220093</v>
      </c>
      <c r="Q73" s="331">
        <f t="shared" si="53"/>
        <v>0.95992063492063573</v>
      </c>
      <c r="R73" s="573"/>
      <c r="S73" s="49">
        <v>0.59722222222222221</v>
      </c>
      <c r="T73" s="49">
        <v>0.64097222222222217</v>
      </c>
      <c r="U73" s="330">
        <f t="shared" si="48"/>
        <v>4.9999999999999822</v>
      </c>
      <c r="V73" s="334">
        <f t="shared" si="47"/>
        <v>62.999999999999936</v>
      </c>
      <c r="W73" s="25"/>
      <c r="X73" s="25"/>
      <c r="Y73" s="28"/>
      <c r="Z73" s="28"/>
      <c r="AA73" s="568"/>
      <c r="AB73" s="569"/>
      <c r="AC73" s="50"/>
      <c r="AD73" s="27"/>
      <c r="AE73" s="20">
        <f t="shared" si="43"/>
        <v>-96.190476190473873</v>
      </c>
      <c r="AF73" s="331">
        <f t="shared" si="54"/>
        <v>0.95992063492063584</v>
      </c>
      <c r="AG73" s="573"/>
    </row>
    <row r="74" spans="1:33" ht="15.75" customHeight="1">
      <c r="A74" s="578" t="s">
        <v>71</v>
      </c>
      <c r="B74" s="335" t="s">
        <v>94</v>
      </c>
      <c r="C74" s="566" t="s">
        <v>124</v>
      </c>
      <c r="D74" s="567"/>
      <c r="E74" s="39">
        <v>22.69</v>
      </c>
      <c r="F74" s="335">
        <v>1798</v>
      </c>
      <c r="G74" s="330">
        <f t="shared" si="45"/>
        <v>40796.620000000003</v>
      </c>
      <c r="H74" s="48" t="s">
        <v>126</v>
      </c>
      <c r="I74" s="333">
        <v>15</v>
      </c>
      <c r="J74" s="43">
        <v>2400</v>
      </c>
      <c r="K74" s="18">
        <f t="shared" si="49"/>
        <v>160</v>
      </c>
      <c r="L74" s="333">
        <v>15</v>
      </c>
      <c r="M74" s="19">
        <f t="shared" si="46"/>
        <v>2295.3191489361702</v>
      </c>
      <c r="N74" s="18">
        <f t="shared" si="50"/>
        <v>153.02127659574469</v>
      </c>
      <c r="O74" s="20">
        <f t="shared" si="51"/>
        <v>0</v>
      </c>
      <c r="P74" s="21">
        <f t="shared" si="52"/>
        <v>-6.9787234042553052</v>
      </c>
      <c r="Q74" s="331">
        <f t="shared" si="53"/>
        <v>0.95638297872340439</v>
      </c>
      <c r="R74" s="573"/>
      <c r="S74" s="49">
        <v>0.64583333333333326</v>
      </c>
      <c r="T74" s="49">
        <v>0.67847222222222214</v>
      </c>
      <c r="U74" s="330">
        <f t="shared" si="48"/>
        <v>6.9999999999999751</v>
      </c>
      <c r="V74" s="334">
        <f t="shared" si="47"/>
        <v>46.999999999999993</v>
      </c>
      <c r="W74" s="25"/>
      <c r="X74" s="25"/>
      <c r="Y74" s="28"/>
      <c r="Z74" s="28"/>
      <c r="AA74" s="568"/>
      <c r="AB74" s="569"/>
      <c r="AC74" s="50"/>
      <c r="AD74" s="27"/>
      <c r="AE74" s="20">
        <f t="shared" si="43"/>
        <v>-104.68085106382978</v>
      </c>
      <c r="AF74" s="331">
        <f t="shared" si="54"/>
        <v>0.95638297872340428</v>
      </c>
      <c r="AG74" s="573"/>
    </row>
    <row r="75" spans="1:33" ht="16.5" customHeight="1">
      <c r="A75" s="579" t="s">
        <v>71</v>
      </c>
      <c r="B75" s="39" t="s">
        <v>1720</v>
      </c>
      <c r="C75" s="570"/>
      <c r="D75" s="571"/>
      <c r="E75" s="332"/>
      <c r="F75" s="42"/>
      <c r="G75" s="18"/>
      <c r="H75" s="335"/>
      <c r="I75" s="32">
        <v>15.75</v>
      </c>
      <c r="J75" s="43">
        <v>2400</v>
      </c>
      <c r="K75" s="18">
        <f t="shared" si="49"/>
        <v>152.38095238095238</v>
      </c>
      <c r="L75" s="32">
        <v>15.75</v>
      </c>
      <c r="M75" s="19">
        <f>AVERAGE(M67:M74)</f>
        <v>2293.2215822142916</v>
      </c>
      <c r="N75" s="18">
        <f t="shared" si="50"/>
        <v>145.60137029932011</v>
      </c>
      <c r="O75" s="20">
        <f t="shared" si="51"/>
        <v>0</v>
      </c>
      <c r="P75" s="21">
        <f t="shared" si="52"/>
        <v>-6.7795820816322703</v>
      </c>
      <c r="Q75" s="331">
        <f t="shared" si="53"/>
        <v>0.95550899258928823</v>
      </c>
      <c r="R75" s="573"/>
      <c r="S75" s="49"/>
      <c r="T75" s="49"/>
      <c r="U75" s="18"/>
      <c r="V75" s="334"/>
      <c r="W75" s="18"/>
      <c r="X75" s="18"/>
      <c r="Y75" s="33">
        <f>SUM(Y67:Y74)</f>
        <v>0</v>
      </c>
      <c r="Z75" s="33">
        <f>SUM(Z67:Z74)</f>
        <v>0</v>
      </c>
      <c r="AA75" s="572"/>
      <c r="AB75" s="572"/>
      <c r="AC75" s="33">
        <v>8</v>
      </c>
      <c r="AD75" s="33">
        <f>SUM(AD67:AD74)</f>
        <v>0</v>
      </c>
      <c r="AE75" s="20">
        <f t="shared" si="43"/>
        <v>-106.77841778570837</v>
      </c>
      <c r="AF75" s="331">
        <f t="shared" si="54"/>
        <v>0.95550899258928823</v>
      </c>
      <c r="AG75" s="573"/>
    </row>
    <row r="76" spans="1:33">
      <c r="D76" s="35"/>
      <c r="E76" s="35"/>
    </row>
  </sheetData>
  <mergeCells count="201">
    <mergeCell ref="A67:A75"/>
    <mergeCell ref="C67:D67"/>
    <mergeCell ref="R67:R75"/>
    <mergeCell ref="AA67:AB67"/>
    <mergeCell ref="AG67:AG75"/>
    <mergeCell ref="C68:D68"/>
    <mergeCell ref="AA68:AB68"/>
    <mergeCell ref="C69:D69"/>
    <mergeCell ref="AA69:AB69"/>
    <mergeCell ref="C70:D70"/>
    <mergeCell ref="C74:D74"/>
    <mergeCell ref="AA74:AB74"/>
    <mergeCell ref="C75:D75"/>
    <mergeCell ref="AA75:AB75"/>
    <mergeCell ref="AA70:AB70"/>
    <mergeCell ref="C71:D71"/>
    <mergeCell ref="AA71:AB71"/>
    <mergeCell ref="C72:D72"/>
    <mergeCell ref="AA72:AB72"/>
    <mergeCell ref="C73:D73"/>
    <mergeCell ref="AA73:AB73"/>
    <mergeCell ref="AG60:AG66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C57:D57"/>
    <mergeCell ref="AA57:AB57"/>
    <mergeCell ref="A50:A59"/>
    <mergeCell ref="C50:D50"/>
    <mergeCell ref="R50:R59"/>
    <mergeCell ref="AA50:AB50"/>
    <mergeCell ref="C59:D59"/>
    <mergeCell ref="AA59:AB59"/>
    <mergeCell ref="A60:A66"/>
    <mergeCell ref="C60:D60"/>
    <mergeCell ref="R60:R66"/>
    <mergeCell ref="AA60:AB60"/>
    <mergeCell ref="AA65:AB65"/>
    <mergeCell ref="C66:D66"/>
    <mergeCell ref="AA66:AB66"/>
    <mergeCell ref="A45:A49"/>
    <mergeCell ref="C45:D45"/>
    <mergeCell ref="R45:R49"/>
    <mergeCell ref="AA45:AB45"/>
    <mergeCell ref="AG50:AG59"/>
    <mergeCell ref="C51:D51"/>
    <mergeCell ref="AA51:AB51"/>
    <mergeCell ref="C52:D52"/>
    <mergeCell ref="AA52:AB52"/>
    <mergeCell ref="AA53:AB53"/>
    <mergeCell ref="AG45:AG49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AA54:AB54"/>
    <mergeCell ref="C55:D55"/>
    <mergeCell ref="AA55:AB55"/>
    <mergeCell ref="C56:D56"/>
    <mergeCell ref="AA56:AB56"/>
    <mergeCell ref="A36:A44"/>
    <mergeCell ref="C36:D36"/>
    <mergeCell ref="R36:R44"/>
    <mergeCell ref="AA36:AB36"/>
    <mergeCell ref="AA41:AB41"/>
    <mergeCell ref="C42:D42"/>
    <mergeCell ref="AG36:AG44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A42:AB42"/>
    <mergeCell ref="C43:D43"/>
    <mergeCell ref="AA43:AB43"/>
    <mergeCell ref="C44:D44"/>
    <mergeCell ref="AA44:AB44"/>
    <mergeCell ref="A28:A35"/>
    <mergeCell ref="C28:D28"/>
    <mergeCell ref="R28:R35"/>
    <mergeCell ref="AA28:AB28"/>
    <mergeCell ref="C34:D34"/>
    <mergeCell ref="AA34:AB34"/>
    <mergeCell ref="C35:D35"/>
    <mergeCell ref="AA35:AB35"/>
    <mergeCell ref="A21:A27"/>
    <mergeCell ref="C21:D21"/>
    <mergeCell ref="R21:R27"/>
    <mergeCell ref="AA21:AB21"/>
    <mergeCell ref="AA26:AB26"/>
    <mergeCell ref="C27:D27"/>
    <mergeCell ref="AG28:AG35"/>
    <mergeCell ref="C29:D29"/>
    <mergeCell ref="AA29:AB29"/>
    <mergeCell ref="C30:D30"/>
    <mergeCell ref="AA30:AB30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31:D31"/>
    <mergeCell ref="AA31:AB31"/>
    <mergeCell ref="C32:D32"/>
    <mergeCell ref="AA32:AB32"/>
    <mergeCell ref="C33:D33"/>
    <mergeCell ref="AA33:AB33"/>
    <mergeCell ref="AA27:AB27"/>
    <mergeCell ref="A5:A8"/>
    <mergeCell ref="C5:D5"/>
    <mergeCell ref="R5:R8"/>
    <mergeCell ref="AA5:AB5"/>
    <mergeCell ref="AG16:AG20"/>
    <mergeCell ref="C17:D17"/>
    <mergeCell ref="AA17:AB17"/>
    <mergeCell ref="C18:D18"/>
    <mergeCell ref="AA18:AB18"/>
    <mergeCell ref="AG9:AG15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C19:D19"/>
    <mergeCell ref="AA19:AB19"/>
    <mergeCell ref="C20:D20"/>
    <mergeCell ref="AA20:AB20"/>
    <mergeCell ref="A9:A15"/>
    <mergeCell ref="C9:D9"/>
    <mergeCell ref="R9:R15"/>
    <mergeCell ref="AA9:AB9"/>
    <mergeCell ref="AA14:AB14"/>
    <mergeCell ref="C15:D15"/>
    <mergeCell ref="AA15:AB15"/>
    <mergeCell ref="A16:A20"/>
    <mergeCell ref="C16:D16"/>
    <mergeCell ref="R16:R20"/>
    <mergeCell ref="AA16:AB16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3:O72 O59:O60 O75 O5:O9 O15:O17 O20:O55">
    <cfRule type="cellIs" dxfId="1120" priority="56" operator="greaterThan">
      <formula>0</formula>
    </cfRule>
  </conditionalFormatting>
  <conditionalFormatting sqref="P5:P7 P63:P65 AE63:AE65 P67:P72 P28:P34 P60 P9 P21:P26 P50:P55 P15:P17 P36:P48 AE5:AE60 AE67:AE75">
    <cfRule type="cellIs" dxfId="1119" priority="60" operator="lessThan">
      <formula>0</formula>
    </cfRule>
  </conditionalFormatting>
  <conditionalFormatting sqref="AF63:AF65 Q63:Q72 Q59:Q60 Q75 Q5:Q9 Q15:Q17 Q20:Q55 AF5:AF60 AF67:AF75">
    <cfRule type="cellIs" dxfId="1118" priority="57" operator="greaterThan">
      <formula>1</formula>
    </cfRule>
    <cfRule type="cellIs" dxfId="1117" priority="58" operator="lessThan">
      <formula>0.8</formula>
    </cfRule>
  </conditionalFormatting>
  <conditionalFormatting sqref="AG16:AG17 R16:R17 AG63 R63:R72 AG59:AG60 R59:R60 R75 AG5:AG9 R5:R9 R20:R55 AG20:AG55">
    <cfRule type="cellIs" dxfId="1116" priority="62" operator="lessThan">
      <formula>0.8</formula>
    </cfRule>
  </conditionalFormatting>
  <conditionalFormatting sqref="AG45">
    <cfRule type="cellIs" dxfId="1115" priority="64" operator="lessThan">
      <formula>0.8</formula>
    </cfRule>
  </conditionalFormatting>
  <conditionalFormatting sqref="AG21:AG26">
    <cfRule type="cellIs" dxfId="1114" priority="61" operator="lessThan">
      <formula>0.8</formula>
    </cfRule>
  </conditionalFormatting>
  <conditionalFormatting sqref="AG28">
    <cfRule type="cellIs" dxfId="1113" priority="63" operator="lessThan">
      <formula>0.8</formula>
    </cfRule>
  </conditionalFormatting>
  <conditionalFormatting sqref="AG36:AG43">
    <cfRule type="cellIs" dxfId="1112" priority="59" operator="lessThan">
      <formula>0.8</formula>
    </cfRule>
  </conditionalFormatting>
  <conditionalFormatting sqref="AE66">
    <cfRule type="cellIs" dxfId="1111" priority="55" operator="lessThan">
      <formula>0</formula>
    </cfRule>
  </conditionalFormatting>
  <conditionalFormatting sqref="AF66">
    <cfRule type="cellIs" dxfId="1110" priority="53" operator="greaterThan">
      <formula>1</formula>
    </cfRule>
    <cfRule type="cellIs" dxfId="1109" priority="54" operator="lessThan">
      <formula>0.8</formula>
    </cfRule>
  </conditionalFormatting>
  <conditionalFormatting sqref="O18:O19">
    <cfRule type="cellIs" dxfId="1108" priority="48" operator="greaterThan">
      <formula>0</formula>
    </cfRule>
  </conditionalFormatting>
  <conditionalFormatting sqref="P18:P19">
    <cfRule type="cellIs" dxfId="1107" priority="51" operator="lessThan">
      <formula>0</formula>
    </cfRule>
  </conditionalFormatting>
  <conditionalFormatting sqref="Q18:Q19">
    <cfRule type="cellIs" dxfId="1106" priority="49" operator="greaterThan">
      <formula>1</formula>
    </cfRule>
    <cfRule type="cellIs" dxfId="1105" priority="50" operator="lessThan">
      <formula>0.8</formula>
    </cfRule>
  </conditionalFormatting>
  <conditionalFormatting sqref="R18:R19 AG18:AG19">
    <cfRule type="cellIs" dxfId="1104" priority="52" operator="lessThan">
      <formula>0.8</formula>
    </cfRule>
  </conditionalFormatting>
  <conditionalFormatting sqref="O10:O14">
    <cfRule type="cellIs" dxfId="1103" priority="44" operator="greaterThan">
      <formula>0</formula>
    </cfRule>
  </conditionalFormatting>
  <conditionalFormatting sqref="P10:P14">
    <cfRule type="cellIs" dxfId="1102" priority="47" operator="lessThan">
      <formula>0</formula>
    </cfRule>
  </conditionalFormatting>
  <conditionalFormatting sqref="Q10:Q14">
    <cfRule type="cellIs" dxfId="1101" priority="45" operator="greaterThan">
      <formula>1</formula>
    </cfRule>
    <cfRule type="cellIs" dxfId="1100" priority="46" operator="lessThan">
      <formula>0.8</formula>
    </cfRule>
  </conditionalFormatting>
  <conditionalFormatting sqref="O56">
    <cfRule type="cellIs" dxfId="1099" priority="39" operator="greaterThan">
      <formula>0</formula>
    </cfRule>
  </conditionalFormatting>
  <conditionalFormatting sqref="P56">
    <cfRule type="cellIs" dxfId="1098" priority="42" operator="lessThan">
      <formula>0</formula>
    </cfRule>
  </conditionalFormatting>
  <conditionalFormatting sqref="Q56">
    <cfRule type="cellIs" dxfId="1097" priority="40" operator="greaterThan">
      <formula>1</formula>
    </cfRule>
    <cfRule type="cellIs" dxfId="1096" priority="41" operator="lessThan">
      <formula>0.8</formula>
    </cfRule>
  </conditionalFormatting>
  <conditionalFormatting sqref="R56 AG56">
    <cfRule type="cellIs" dxfId="1095" priority="43" operator="lessThan">
      <formula>0.8</formula>
    </cfRule>
  </conditionalFormatting>
  <conditionalFormatting sqref="O62">
    <cfRule type="cellIs" dxfId="1094" priority="34" operator="greaterThan">
      <formula>0</formula>
    </cfRule>
  </conditionalFormatting>
  <conditionalFormatting sqref="P62 AE62">
    <cfRule type="cellIs" dxfId="1093" priority="37" operator="lessThan">
      <formula>0</formula>
    </cfRule>
  </conditionalFormatting>
  <conditionalFormatting sqref="Q62 AF62">
    <cfRule type="cellIs" dxfId="1092" priority="35" operator="greaterThan">
      <formula>1</formula>
    </cfRule>
    <cfRule type="cellIs" dxfId="1091" priority="36" operator="lessThan">
      <formula>0.8</formula>
    </cfRule>
  </conditionalFormatting>
  <conditionalFormatting sqref="R62 AG62">
    <cfRule type="cellIs" dxfId="1090" priority="38" operator="lessThan">
      <formula>0.8</formula>
    </cfRule>
  </conditionalFormatting>
  <conditionalFormatting sqref="O73">
    <cfRule type="cellIs" dxfId="1089" priority="29" operator="greaterThan">
      <formula>0</formula>
    </cfRule>
  </conditionalFormatting>
  <conditionalFormatting sqref="P73">
    <cfRule type="cellIs" dxfId="1088" priority="32" operator="lessThan">
      <formula>0</formula>
    </cfRule>
  </conditionalFormatting>
  <conditionalFormatting sqref="Q73">
    <cfRule type="cellIs" dxfId="1087" priority="30" operator="greaterThan">
      <formula>1</formula>
    </cfRule>
    <cfRule type="cellIs" dxfId="1086" priority="31" operator="lessThan">
      <formula>0.8</formula>
    </cfRule>
  </conditionalFormatting>
  <conditionalFormatting sqref="R73">
    <cfRule type="cellIs" dxfId="1085" priority="33" operator="lessThan">
      <formula>0.8</formula>
    </cfRule>
  </conditionalFormatting>
  <conditionalFormatting sqref="O57">
    <cfRule type="cellIs" dxfId="1084" priority="24" operator="greaterThan">
      <formula>0</formula>
    </cfRule>
  </conditionalFormatting>
  <conditionalFormatting sqref="P57">
    <cfRule type="cellIs" dxfId="1083" priority="27" operator="lessThan">
      <formula>0</formula>
    </cfRule>
  </conditionalFormatting>
  <conditionalFormatting sqref="Q57">
    <cfRule type="cellIs" dxfId="1082" priority="25" operator="greaterThan">
      <formula>1</formula>
    </cfRule>
    <cfRule type="cellIs" dxfId="1081" priority="26" operator="lessThan">
      <formula>0.8</formula>
    </cfRule>
  </conditionalFormatting>
  <conditionalFormatting sqref="AG57 R57">
    <cfRule type="cellIs" dxfId="1080" priority="28" operator="lessThan">
      <formula>0.8</formula>
    </cfRule>
  </conditionalFormatting>
  <conditionalFormatting sqref="O61">
    <cfRule type="cellIs" dxfId="1079" priority="19" operator="greaterThan">
      <formula>0</formula>
    </cfRule>
  </conditionalFormatting>
  <conditionalFormatting sqref="P61 AE61">
    <cfRule type="cellIs" dxfId="1078" priority="22" operator="lessThan">
      <formula>0</formula>
    </cfRule>
  </conditionalFormatting>
  <conditionalFormatting sqref="Q61 AF61">
    <cfRule type="cellIs" dxfId="1077" priority="20" operator="greaterThan">
      <formula>1</formula>
    </cfRule>
    <cfRule type="cellIs" dxfId="1076" priority="21" operator="lessThan">
      <formula>0.8</formula>
    </cfRule>
  </conditionalFormatting>
  <conditionalFormatting sqref="R61 AG61">
    <cfRule type="cellIs" dxfId="1075" priority="23" operator="lessThan">
      <formula>0.8</formula>
    </cfRule>
  </conditionalFormatting>
  <conditionalFormatting sqref="P8">
    <cfRule type="cellIs" dxfId="1074" priority="18" operator="lessThan">
      <formula>0</formula>
    </cfRule>
  </conditionalFormatting>
  <conditionalFormatting sqref="P20">
    <cfRule type="cellIs" dxfId="1073" priority="17" operator="lessThan">
      <formula>0</formula>
    </cfRule>
  </conditionalFormatting>
  <conditionalFormatting sqref="P27">
    <cfRule type="cellIs" dxfId="1072" priority="16" operator="lessThan">
      <formula>0</formula>
    </cfRule>
  </conditionalFormatting>
  <conditionalFormatting sqref="P35">
    <cfRule type="cellIs" dxfId="1071" priority="15" operator="lessThan">
      <formula>0</formula>
    </cfRule>
  </conditionalFormatting>
  <conditionalFormatting sqref="P49">
    <cfRule type="cellIs" dxfId="1070" priority="14" operator="lessThan">
      <formula>0</formula>
    </cfRule>
  </conditionalFormatting>
  <conditionalFormatting sqref="P59">
    <cfRule type="cellIs" dxfId="1069" priority="13" operator="lessThan">
      <formula>0</formula>
    </cfRule>
  </conditionalFormatting>
  <conditionalFormatting sqref="P66">
    <cfRule type="cellIs" dxfId="1068" priority="12" operator="lessThan">
      <formula>0</formula>
    </cfRule>
  </conditionalFormatting>
  <conditionalFormatting sqref="P75">
    <cfRule type="cellIs" dxfId="1067" priority="11" operator="lessThan">
      <formula>0</formula>
    </cfRule>
  </conditionalFormatting>
  <conditionalFormatting sqref="O74">
    <cfRule type="cellIs" dxfId="1066" priority="6" operator="greaterThan">
      <formula>0</formula>
    </cfRule>
  </conditionalFormatting>
  <conditionalFormatting sqref="P74">
    <cfRule type="cellIs" dxfId="1065" priority="9" operator="lessThan">
      <formula>0</formula>
    </cfRule>
  </conditionalFormatting>
  <conditionalFormatting sqref="Q74">
    <cfRule type="cellIs" dxfId="1064" priority="7" operator="greaterThan">
      <formula>1</formula>
    </cfRule>
    <cfRule type="cellIs" dxfId="1063" priority="8" operator="lessThan">
      <formula>0.8</formula>
    </cfRule>
  </conditionalFormatting>
  <conditionalFormatting sqref="R74">
    <cfRule type="cellIs" dxfId="1062" priority="10" operator="lessThan">
      <formula>0.8</formula>
    </cfRule>
  </conditionalFormatting>
  <conditionalFormatting sqref="O58">
    <cfRule type="cellIs" dxfId="1061" priority="1" operator="greaterThan">
      <formula>0</formula>
    </cfRule>
  </conditionalFormatting>
  <conditionalFormatting sqref="P58">
    <cfRule type="cellIs" dxfId="1060" priority="4" operator="lessThan">
      <formula>0</formula>
    </cfRule>
  </conditionalFormatting>
  <conditionalFormatting sqref="Q58">
    <cfRule type="cellIs" dxfId="1059" priority="2" operator="greaterThan">
      <formula>1</formula>
    </cfRule>
    <cfRule type="cellIs" dxfId="1058" priority="3" operator="lessThan">
      <formula>0.8</formula>
    </cfRule>
  </conditionalFormatting>
  <conditionalFormatting sqref="AG58 R58">
    <cfRule type="cellIs" dxfId="1057" priority="5" operator="lessThan">
      <formula>0.8</formula>
    </cfRule>
  </conditionalFormatting>
  <dataValidations count="1">
    <dataValidation type="list" allowBlank="1" showInputMessage="1" showErrorMessage="1" sqref="AB8 AA5:AB7 AB64:AB65 AA8:AA65 AB10:AB60 AA66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F9" sqref="F9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425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1827</v>
      </c>
      <c r="C3" s="555" t="str">
        <f>TEXT('0518 4度C'!A2,"yyyy.mm.ddaaaa")</f>
        <v>2026.05.18星期一</v>
      </c>
      <c r="D3" s="556"/>
      <c r="E3" s="54" t="s">
        <v>1828</v>
      </c>
      <c r="F3" s="557">
        <f>'0518 4度C'!D1</f>
        <v>190858</v>
      </c>
      <c r="G3" s="558"/>
      <c r="H3" s="54" t="s">
        <v>1829</v>
      </c>
      <c r="I3" s="559">
        <f>'0518 4度C'!F1</f>
        <v>6548537.9799999986</v>
      </c>
      <c r="J3" s="560"/>
      <c r="K3" s="55"/>
      <c r="L3" s="56"/>
      <c r="M3" s="57"/>
      <c r="N3" s="57"/>
    </row>
    <row r="4" spans="2:17" ht="28.5" customHeight="1">
      <c r="B4" s="561" t="s">
        <v>1830</v>
      </c>
      <c r="C4" s="547" t="s">
        <v>1831</v>
      </c>
      <c r="D4" s="548"/>
      <c r="E4" s="564" t="s">
        <v>1832</v>
      </c>
      <c r="F4" s="565"/>
      <c r="G4" s="564" t="s">
        <v>1833</v>
      </c>
      <c r="H4" s="565"/>
      <c r="I4" s="564" t="s">
        <v>1834</v>
      </c>
      <c r="J4" s="565"/>
      <c r="K4" s="545" t="s">
        <v>1835</v>
      </c>
      <c r="L4" s="546"/>
      <c r="M4" s="546" t="s">
        <v>1836</v>
      </c>
      <c r="N4" s="546"/>
    </row>
    <row r="5" spans="2:17" ht="28.5" customHeight="1">
      <c r="B5" s="562"/>
      <c r="C5" s="547" t="s">
        <v>1837</v>
      </c>
      <c r="D5" s="548"/>
      <c r="E5" s="547" t="s">
        <v>1838</v>
      </c>
      <c r="F5" s="548"/>
      <c r="G5" s="549" t="s">
        <v>1839</v>
      </c>
      <c r="H5" s="550"/>
      <c r="I5" s="551" t="s">
        <v>1840</v>
      </c>
      <c r="J5" s="552"/>
      <c r="K5" s="58" t="s">
        <v>1841</v>
      </c>
      <c r="L5" s="59" t="s">
        <v>1842</v>
      </c>
      <c r="M5" s="58" t="s">
        <v>1841</v>
      </c>
      <c r="N5" s="59" t="s">
        <v>1843</v>
      </c>
    </row>
    <row r="6" spans="2:17" ht="28.5" customHeight="1">
      <c r="B6" s="562"/>
      <c r="C6" s="547" t="s">
        <v>145</v>
      </c>
      <c r="D6" s="548"/>
      <c r="E6" s="539">
        <f>AVERAGE(D13:M13)</f>
        <v>151.74833148432793</v>
      </c>
      <c r="F6" s="540">
        <f>AVERAGE(D31:O31,D13:J13)</f>
        <v>157.4403228015039</v>
      </c>
      <c r="G6" s="541">
        <f>AVERAGE(D13:J13)</f>
        <v>157.4403228015039</v>
      </c>
      <c r="H6" s="542"/>
      <c r="I6" s="541">
        <f>AVERAGE(K13:M13)</f>
        <v>138.4670184109174</v>
      </c>
      <c r="J6" s="542"/>
      <c r="K6" s="543">
        <f>'0518 4度C'!Y2</f>
        <v>0</v>
      </c>
      <c r="L6" s="528">
        <f>'0518 4度C'!Z2</f>
        <v>0</v>
      </c>
      <c r="M6" s="544">
        <f>'0518 4度C'!AC2</f>
        <v>57</v>
      </c>
      <c r="N6" s="528">
        <f>'0518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145.36676357051323</v>
      </c>
      <c r="F7" s="532">
        <f>AVERAGE(D32:O32,D14:J14)</f>
        <v>151.04170515909985</v>
      </c>
      <c r="G7" s="533">
        <f>AVERAGE(D14:J14)</f>
        <v>151.04170515909985</v>
      </c>
      <c r="H7" s="534"/>
      <c r="I7" s="533">
        <f>AVERAGE(K14:M14)</f>
        <v>132.12523319714441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0.95775264981004626</v>
      </c>
      <c r="F8" s="536">
        <f>AVERAGE(D15:J15,D33:O33)</f>
        <v>0.95924560581480856</v>
      </c>
      <c r="G8" s="537">
        <f>AVERAGE(D15:J15)</f>
        <v>0.95924560581480856</v>
      </c>
      <c r="H8" s="538"/>
      <c r="I8" s="537">
        <f>AVERAGE(K15:M15)</f>
        <v>0.95426908579893421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1844</v>
      </c>
      <c r="N9" s="57"/>
      <c r="O9" s="57"/>
      <c r="P9" s="57"/>
      <c r="Q9" s="57"/>
    </row>
    <row r="10" spans="2:17" ht="30" customHeight="1">
      <c r="B10" s="511" t="s">
        <v>1845</v>
      </c>
      <c r="C10" s="512"/>
      <c r="D10" s="513" t="s">
        <v>1846</v>
      </c>
      <c r="E10" s="514"/>
      <c r="F10" s="514"/>
      <c r="G10" s="514"/>
      <c r="H10" s="514"/>
      <c r="I10" s="514"/>
      <c r="J10" s="515"/>
      <c r="K10" s="516" t="s">
        <v>1847</v>
      </c>
      <c r="L10" s="517"/>
      <c r="M10" s="518"/>
      <c r="P10" s="63"/>
      <c r="Q10" s="63"/>
    </row>
    <row r="11" spans="2:17" ht="17.25" customHeight="1">
      <c r="B11" s="519" t="s">
        <v>1848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1849</v>
      </c>
      <c r="C13" s="70" t="s">
        <v>1850</v>
      </c>
      <c r="D13" s="71">
        <f>SUMIFS('0518 4度C'!$K:$K,'0518 4度C'!$A:$A,"新豐6線",'0518 4度C'!$B:$B,"平均")</f>
        <v>125</v>
      </c>
      <c r="E13" s="72">
        <f>SUMIFS('0518 4度C'!$K:$K,'0518 4度C'!$A:$A,"新豐2線",'0518 4度C'!$B:$B,"平均")</f>
        <v>84.905660377358487</v>
      </c>
      <c r="F13" s="73">
        <f>SUMIFS('0518 4度C'!$K:$K,'0518 4度C'!$A:$A,"新豐5線",'0518 4度C'!$B:$B,"平均")</f>
        <v>87.719298245614041</v>
      </c>
      <c r="G13" s="73">
        <f>SUMIFS('0518 4度C'!$K:$K,'0518 4度C'!$A:$A,"新豐7線",'0518 4度C'!$B:$B,"平均")</f>
        <v>121.05263157894737</v>
      </c>
      <c r="H13" s="73">
        <f>SUMIFS('0518 4度C'!$K:$K,'0518 4度C'!$A:$A,"新豐3線",'0518 4度C'!$B:$B,"平均")</f>
        <v>255.81395348837211</v>
      </c>
      <c r="I13" s="73">
        <f>SUMIFS('0518 4度C'!$K:$K,'0518 4度C'!$A:$A,"新豐1線",'0518 4度C'!$B:$B,"平均")</f>
        <v>111.80124223602485</v>
      </c>
      <c r="J13" s="74">
        <f>SUMIFS('0518 4度C'!$K:$K,'0518 4度C'!$A:$A,"新豐10線",'0518 4度C'!$B:$B,"平均")</f>
        <v>315.78947368421052</v>
      </c>
      <c r="K13" s="75">
        <f>SUMIFS('0518 4度C'!$K:$K,'0518 4度C'!$A:$A,"新豐8線",'0518 4度C'!$B:$B,"平均")</f>
        <v>135.48387096774192</v>
      </c>
      <c r="L13" s="76">
        <f>SUMIFS('0518 4度C'!$K:$K,'0518 4度C'!$A:$A,"新豐9線",'0518 4度C'!$B:$B,"平均")</f>
        <v>127.53623188405797</v>
      </c>
      <c r="M13" s="74">
        <f>SUMIFS('0518 4度C'!$K:$K,'0518 4度C'!$A:$A,"新豐4線",'0518 4度C'!$B:$B,"平均")</f>
        <v>152.38095238095238</v>
      </c>
    </row>
    <row r="14" spans="2:17" ht="39.6" customHeight="1">
      <c r="B14" s="524"/>
      <c r="C14" s="77" t="s">
        <v>1851</v>
      </c>
      <c r="D14" s="78">
        <f>SUMIFS('0518 4度C'!$N:$N,'0518 4度C'!$A:$A,"新豐6線",'0518 4度C'!$B:$B,"平均")</f>
        <v>120.42113095238103</v>
      </c>
      <c r="E14" s="79">
        <f>SUMIFS('0518 4度C'!$N:$N,'0518 4度C'!$A:$A,"新豐2線",'0518 4度C'!$B:$B,"平均")</f>
        <v>81.008776466953123</v>
      </c>
      <c r="F14" s="79">
        <f>SUMIFS('0518 4度C'!$N:$N,'0518 4度C'!$A:$A,"新豐5線",'0518 4度C'!$B:$B,"平均")</f>
        <v>84.316584507317046</v>
      </c>
      <c r="G14" s="79">
        <f>SUMIFS('0518 4度C'!$N:$N,'0518 4度C'!$A:$A,"新豐7線",'0518 4度C'!$B:$B,"平均")</f>
        <v>115.9345392872318</v>
      </c>
      <c r="H14" s="79">
        <f>SUMIFS('0518 4度C'!$N:$N,'0518 4度C'!$A:$A,"新豐3線",'0518 4度C'!$B:$B,"平均")</f>
        <v>244.57261749230702</v>
      </c>
      <c r="I14" s="79">
        <f>SUMIFS('0518 4度C'!$N:$N,'0518 4度C'!$A:$A,"新豐1線",'0518 4度C'!$B:$B,"平均")</f>
        <v>107.41842971991345</v>
      </c>
      <c r="J14" s="80">
        <f>SUMIFS('0518 4度C'!$N:$N,'0518 4度C'!$A:$A,"新豐10線",'0518 4度C'!$B:$B,"平均")</f>
        <v>303.61985768759553</v>
      </c>
      <c r="K14" s="81">
        <f>SUMIFS('0518 4度C'!$N:$N,'0518 4度C'!$A:$A,"新豐8線",'0518 4度C'!$B:$B,"平均")</f>
        <v>129.44020492421262</v>
      </c>
      <c r="L14" s="82">
        <f>SUMIFS('0518 4度C'!$N:$N,'0518 4度C'!$A:$A,"新豐9線",'0518 4度C'!$B:$B,"平均")</f>
        <v>121.75373753494748</v>
      </c>
      <c r="M14" s="80">
        <f>SUMIFS('0518 4度C'!$N:$N,'0518 4度C'!$A:$A,"新豐4線",'0518 4度C'!$B:$B,"平均")</f>
        <v>145.18175713227308</v>
      </c>
    </row>
    <row r="15" spans="2:17" ht="40.15" customHeight="1">
      <c r="B15" s="525"/>
      <c r="C15" s="83" t="s">
        <v>1852</v>
      </c>
      <c r="D15" s="84">
        <f t="shared" ref="D15:M15" si="0">D14/D13</f>
        <v>0.96336904761904829</v>
      </c>
      <c r="E15" s="85">
        <f t="shared" si="0"/>
        <v>0.95410336727744793</v>
      </c>
      <c r="F15" s="85">
        <f t="shared" si="0"/>
        <v>0.96120906338341427</v>
      </c>
      <c r="G15" s="85">
        <f t="shared" si="0"/>
        <v>0.95772010715539313</v>
      </c>
      <c r="H15" s="85">
        <f t="shared" si="0"/>
        <v>0.95605659565174561</v>
      </c>
      <c r="I15" s="85">
        <f t="shared" si="0"/>
        <v>0.96079817693922576</v>
      </c>
      <c r="J15" s="86">
        <f t="shared" si="0"/>
        <v>0.96146288267738589</v>
      </c>
      <c r="K15" s="84">
        <f t="shared" si="0"/>
        <v>0.95539198872633135</v>
      </c>
      <c r="L15" s="85">
        <f t="shared" si="0"/>
        <v>0.95465998748992908</v>
      </c>
      <c r="M15" s="86">
        <f t="shared" si="0"/>
        <v>0.95275528118054209</v>
      </c>
    </row>
    <row r="16" spans="2:17" ht="17.25" customHeight="1">
      <c r="B16" s="526" t="s">
        <v>1853</v>
      </c>
      <c r="C16" s="87" t="s">
        <v>1854</v>
      </c>
      <c r="D16" s="88">
        <f>VLOOKUP("新豐6線",'0518 4度C'!$A:$T,19,0)</f>
        <v>0.70833333333333337</v>
      </c>
      <c r="E16" s="89">
        <f>VLOOKUP("新豐2線",'0518 4度C'!$A:$T,19,0)</f>
        <v>0.20833333333333334</v>
      </c>
      <c r="F16" s="89">
        <f>VLOOKUP("新豐5線",'0518 4度C'!$A:$T,19,0)</f>
        <v>0.20833333333333334</v>
      </c>
      <c r="G16" s="89">
        <f>VLOOKUP("新豐7線",'0518 4度C'!$A:$T,19,0)</f>
        <v>0.20833333333333334</v>
      </c>
      <c r="H16" s="89">
        <f>VLOOKUP("新豐3線",'0518 4度C'!$A:$T,19,0)</f>
        <v>8.3333333333333329E-2</v>
      </c>
      <c r="I16" s="89">
        <f>VLOOKUP("新豐1線",'0518 4度C'!$A:$T,19,0)</f>
        <v>0.20833333333333334</v>
      </c>
      <c r="J16" s="90">
        <f>VLOOKUP("新豐10線",'0518 4度C'!$A:$T,19,0)</f>
        <v>0.20833333333333334</v>
      </c>
      <c r="K16" s="91">
        <f>VLOOKUP("新豐8線",'0518 4度C'!$A:$T,19,0)</f>
        <v>8.3333333333333329E-2</v>
      </c>
      <c r="L16" s="92">
        <f>VLOOKUP("新豐9線",'0518 4度C'!$A:$T,19,0)</f>
        <v>8.3333333333333329E-2</v>
      </c>
      <c r="M16" s="93">
        <f>VLOOKUP("新豐4線",'0518 4度C'!$A:$T,19,0)</f>
        <v>8.3333333333333329E-2</v>
      </c>
    </row>
    <row r="17" spans="2:13" ht="17.25" customHeight="1">
      <c r="B17" s="527"/>
      <c r="C17" s="87" t="s">
        <v>1855</v>
      </c>
      <c r="D17" s="91">
        <f>LOOKUP(2,1/(('0518 4度C'!$A:$A="新豐6線")*('0518 4度C'!$T:$T&lt;&gt;"")),'0518 4度C'!$T:$T)</f>
        <v>0.82916666666666661</v>
      </c>
      <c r="E17" s="89">
        <f>LOOKUP(2,1/(('0518 4度C'!$A:$A="新豐2線")*('0518 4度C'!$T:$T&lt;&gt;"")),'0518 4度C'!$T:$T)</f>
        <v>0.64097222222222217</v>
      </c>
      <c r="F17" s="89">
        <f>LOOKUP(2,1/(('0518 4度C'!$A:$A="新豐5線")*('0518 4度C'!$T:$T&lt;&gt;"")),'0518 4度C'!$T:$T)</f>
        <v>0.80833333333333335</v>
      </c>
      <c r="G17" s="89">
        <f>LOOKUP(2,1/(('0518 4度C'!$A:$A="新豐7線")*('0518 4度C'!$T:$T&lt;&gt;"")),'0518 4度C'!$T:$T)</f>
        <v>0.81874999999999998</v>
      </c>
      <c r="H17" s="89">
        <f>LOOKUP(2,1/(('0518 4度C'!$A:$A="新豐3線")*('0518 4度C'!$T:$T&lt;&gt;"")),'0518 4度C'!$T:$T)</f>
        <v>0.45</v>
      </c>
      <c r="I17" s="89">
        <f>LOOKUP(2,1/(('0518 4度C'!$A:$A="新豐1線")*('0518 4度C'!$T:$T&lt;&gt;"")),'0518 4度C'!$T:$T)</f>
        <v>0.9604166666666667</v>
      </c>
      <c r="J17" s="90">
        <f>LOOKUP(2,1/(('0518 4度C'!$A:$A="新豐10線")*('0518 4度C'!$T:$T&lt;&gt;"")),'0518 4度C'!$T:$T)</f>
        <v>0.44097222222222215</v>
      </c>
      <c r="K17" s="88">
        <f>LOOKUP(2,1/(('0518 4度C'!$A:$A="新豐8線")*('0518 4度C'!$T:$T&lt;&gt;"")),'0518 4度C'!$T:$T)</f>
        <v>0.74583333333333324</v>
      </c>
      <c r="L17" s="89">
        <f>LOOKUP(2,1/(('0518 4度C'!$A:$A="新豐9線")*('0518 4度C'!$T:$T&lt;&gt;"")),'0518 4度C'!$T:$T)</f>
        <v>0.77013888888888882</v>
      </c>
      <c r="M17" s="90">
        <f>LOOKUP(2,1/(('0518 4度C'!$A:$A="新豐4線")*('0518 4度C'!$T:$T&lt;&gt;"")),'0518 4度C'!$T:$T)</f>
        <v>0.71319444444444446</v>
      </c>
    </row>
    <row r="18" spans="2:13" ht="17.25" customHeight="1">
      <c r="B18" s="505" t="s">
        <v>1856</v>
      </c>
      <c r="C18" s="94" t="s">
        <v>1857</v>
      </c>
      <c r="D18" s="95">
        <f>SUMIFS('0518 4度C'!$Y:$Y,'0518 4度C'!$A:$A,"新豐6線",'0518 4度C'!$B:$B,"平均")</f>
        <v>0</v>
      </c>
      <c r="E18" s="96">
        <f>SUMIFS('0518 4度C'!$Y:$Y,'0518 4度C'!$A:$A,"新豐2線",'0518 4度C'!$B:$B,"平均")</f>
        <v>0</v>
      </c>
      <c r="F18" s="96">
        <f>SUMIFS('0518 4度C'!$Y:$Y,'0518 4度C'!$A:$A,"新豐5線",'0518 4度C'!$B:$B,"平均")</f>
        <v>0</v>
      </c>
      <c r="G18" s="96">
        <f>SUMIFS('0518 4度C'!$Y:$Y,'0518 4度C'!$A:$A,"新豐7線",'0518 4度C'!$B:$B,"平均")</f>
        <v>0</v>
      </c>
      <c r="H18" s="96">
        <f>SUMIFS('0518 4度C'!$Y:$Y,'0518 4度C'!$A:$A,"新豐3線",'0518 4度C'!$B:$B,"平均")</f>
        <v>0</v>
      </c>
      <c r="I18" s="96">
        <f>SUMIFS('0518 4度C'!$Y:$Y,'0518 4度C'!$A:$A,"新豐1線",'0518 4度C'!$B:$B,"平均")</f>
        <v>0</v>
      </c>
      <c r="J18" s="97">
        <f>SUMIFS('0518 4度C'!$Y:$Y,'0518 4度C'!$A:$A,"新豐10線",'0518 4度C'!$B:$B,"平均")</f>
        <v>0</v>
      </c>
      <c r="K18" s="98">
        <f>SUMIFS('0518 4度C'!$Y:$Y,'0518 4度C'!$A:$A,"新豐8線",'0518 4度C'!$B:$B,"平均")</f>
        <v>0</v>
      </c>
      <c r="L18" s="96">
        <f>SUMIFS('0518 4度C'!$Y:$Y,'0518 4度C'!$A:$A,"新豐9線",'0518 4度C'!$B:$B,"平均")</f>
        <v>0</v>
      </c>
      <c r="M18" s="97">
        <f>SUMIFS('0518 4度C'!$Y:$Y,'0518 4度C'!$A:$A,"新豐4線",'0518 4度C'!$B:$B,"平均")</f>
        <v>0</v>
      </c>
    </row>
    <row r="19" spans="2:13" ht="17.25" customHeight="1">
      <c r="B19" s="506"/>
      <c r="C19" s="94" t="s">
        <v>1858</v>
      </c>
      <c r="D19" s="95">
        <f>SUMIFS('0518 4度C'!$Z:$Z,'0518 4度C'!$A:$A,"新豐6線",'0518 4度C'!$B:$B,"平均")</f>
        <v>0</v>
      </c>
      <c r="E19" s="96">
        <f>SUMIFS('0518 4度C'!$Z:$Z,'0518 4度C'!$A:$A,"新豐2線",'0518 4度C'!$B:$B,"平均")</f>
        <v>0</v>
      </c>
      <c r="F19" s="96">
        <f>SUMIFS('0518 4度C'!$Z:$Z,'0518 4度C'!$A:$A,"新豐5線",'0518 4度C'!$B:$B,"平均")</f>
        <v>0</v>
      </c>
      <c r="G19" s="96">
        <f>SUMIFS('0518 4度C'!$Z:$Z,'0518 4度C'!$A:$A,"新豐7線",'0518 4度C'!$B:$B,"平均")</f>
        <v>0</v>
      </c>
      <c r="H19" s="96">
        <f>SUMIFS('0518 4度C'!$Z:$Z,'0518 4度C'!$A:$A,"新豐3線",'0518 4度C'!$B:$B,"平均")</f>
        <v>0</v>
      </c>
      <c r="I19" s="96">
        <f>SUMIFS('0518 4度C'!$Z:$Z,'0518 4度C'!$A:$A,"新豐1線",'0518 4度C'!$B:$B,"平均")</f>
        <v>0</v>
      </c>
      <c r="J19" s="97">
        <f>SUMIFS('0518 4度C'!$Z:$Z,'0518 4度C'!$A:$A,"新豐10線",'0518 4度C'!$B:$B,"平均")</f>
        <v>0</v>
      </c>
      <c r="K19" s="98">
        <f>SUMIFS('0518 4度C'!$Z:$Z,'0518 4度C'!$A:$A,"新豐8線",'0518 4度C'!$B:$B,"平均")</f>
        <v>0</v>
      </c>
      <c r="L19" s="96">
        <f>SUMIFS('0518 4度C'!$Z:$Z,'0518 4度C'!$A:$A,"新豐9線",'0518 4度C'!$B:$B,"平均")</f>
        <v>0</v>
      </c>
      <c r="M19" s="97">
        <f>SUMIFS('0518 4度C'!$Z:$Z,'0518 4度C'!$A:$A,"新豐4線",'0518 4度C'!$B:$B,"平均")</f>
        <v>0</v>
      </c>
    </row>
    <row r="20" spans="2:13" ht="17.25" customHeight="1">
      <c r="B20" s="505" t="s">
        <v>1859</v>
      </c>
      <c r="C20" s="94" t="s">
        <v>1857</v>
      </c>
      <c r="D20" s="95">
        <f>SUMIFS('0518 4度C'!$AC:$AC,'0518 4度C'!$A:$A,"新豐6線",'0518 4度C'!$B:$B,"平均")</f>
        <v>3</v>
      </c>
      <c r="E20" s="96">
        <f>SUMIFS('0518 4度C'!$AC:$AC,'0518 4度C'!$A:$A,"新豐2線",'0518 4度C'!$B:$B,"平均")</f>
        <v>3</v>
      </c>
      <c r="F20" s="96">
        <f>SUMIFS('0518 4度C'!$AC:$AC,'0518 4度C'!$A:$A,"新豐5線",'0518 4度C'!$B:$B,"平均")</f>
        <v>3</v>
      </c>
      <c r="G20" s="96">
        <f>SUMIFS('0518 4度C'!$AC:$AC,'0518 4度C'!$A:$A,"新豐7線",'0518 4度C'!$B:$B,"平均")</f>
        <v>6</v>
      </c>
      <c r="H20" s="96">
        <f>SUMIFS('0518 4度C'!$AC:$AC,'0518 4度C'!$A:$A,"新豐3線",'0518 4度C'!$B:$B,"平均")</f>
        <v>4</v>
      </c>
      <c r="I20" s="96">
        <f>SUMIFS('0518 4度C'!$AC:$AC,'0518 4度C'!$A:$A,"新豐1線",'0518 4度C'!$B:$B,"平均")</f>
        <v>9</v>
      </c>
      <c r="J20" s="97">
        <f>SUMIFS('0518 4度C'!$AC:$AC,'0518 4度C'!$A:$A,"新豐10線",'0518 4度C'!$B:$B,"平均")</f>
        <v>6</v>
      </c>
      <c r="K20" s="98">
        <f>SUMIFS('0518 4度C'!$AC:$AC,'0518 4度C'!$A:$A,"新豐8線",'0518 4度C'!$B:$B,"平均")</f>
        <v>7</v>
      </c>
      <c r="L20" s="96">
        <f>SUMIFS('0518 4度C'!$AC:$AC,'0518 4度C'!$A:$A,"新豐9線",'0518 4度C'!$B:$B,"平均")</f>
        <v>8</v>
      </c>
      <c r="M20" s="97">
        <f>SUMIFS('0518 4度C'!$AC:$AC,'0518 4度C'!$A:$A,"新豐4線",'0518 4度C'!$B:$B,"平均")</f>
        <v>8</v>
      </c>
    </row>
    <row r="21" spans="2:13" ht="17.25" customHeight="1">
      <c r="B21" s="506"/>
      <c r="C21" s="94" t="s">
        <v>1860</v>
      </c>
      <c r="D21" s="95">
        <f>SUMIFS('0518 4度C'!$AD:$AD,'0518 4度C'!$A:$A,"新豐6線",'0518 4度C'!$B:$B,"平均")</f>
        <v>0</v>
      </c>
      <c r="E21" s="96">
        <f>SUMIFS('0518 4度C'!$AD:$AD,'0518 4度C'!$A:$A,"新豐2線",'0518 4度C'!$B:$B,"平均")</f>
        <v>0</v>
      </c>
      <c r="F21" s="96">
        <f>SUMIFS('0518 4度C'!$AD:$AD,'0518 4度C'!$A:$A,"新豐5線",'0518 4度C'!$B:$B,"平均")</f>
        <v>0</v>
      </c>
      <c r="G21" s="96">
        <f>SUMIFS('0518 4度C'!$AD:$AD,'0518 4度C'!$A:$A,"新豐7線",'0518 4度C'!$B:$B,"平均")</f>
        <v>0</v>
      </c>
      <c r="H21" s="96">
        <f>SUMIFS('0518 4度C'!$AD:$AD,'0518 4度C'!$A:$A,"新豐3線",'0518 4度C'!$B:$B,"平均")</f>
        <v>0</v>
      </c>
      <c r="I21" s="96">
        <f>SUMIFS('0518 4度C'!$AD:$AD,'0518 4度C'!$A:$A,"新豐1線",'0518 4度C'!$B:$B,"平均")</f>
        <v>0</v>
      </c>
      <c r="J21" s="97">
        <f>SUMIFS('0518 4度C'!$AD:$AD,'0518 4度C'!$A:$A,"新豐10線",'0518 4度C'!$B:$B,"平均")</f>
        <v>0</v>
      </c>
      <c r="K21" s="98">
        <f>SUMIFS('0518 4度C'!$AD:$AD,'0518 4度C'!$A:$A,"新豐8線",'0518 4度C'!$B:$B,"平均")</f>
        <v>0</v>
      </c>
      <c r="L21" s="96">
        <f>SUMIFS('0518 4度C'!$AD:$AD,'0518 4度C'!$A:$A,"新豐9線",'0518 4度C'!$B:$B,"平均")</f>
        <v>0</v>
      </c>
      <c r="M21" s="97">
        <f>SUMIFS('0518 4度C'!$AD:$AD,'0518 4度C'!$A:$A,"新豐4線",'0518 4度C'!$B:$B,"平均")</f>
        <v>0</v>
      </c>
    </row>
    <row r="22" spans="2:13" ht="17.25" customHeight="1">
      <c r="B22" s="507" t="s">
        <v>1861</v>
      </c>
      <c r="C22" s="508"/>
      <c r="D22" s="99">
        <f>SUMIFS('0518 4度C'!$I:$I,'0518 4度C'!$A:$A,"新豐6線",'0518 4度C'!$B:$B,"平均")</f>
        <v>16</v>
      </c>
      <c r="E22" s="100">
        <f>SUMIFS('0518 4度C'!$I:$I,'0518 4度C'!$A:$A,"新豐2線",'0518 4度C'!$B:$B,"平均")</f>
        <v>17.666666666666668</v>
      </c>
      <c r="F22" s="100">
        <f>SUMIFS('0518 4度C'!$I:$I,'0518 4度C'!$A:$A,"新豐5線",'0518 4度C'!$B:$B,"平均")</f>
        <v>19</v>
      </c>
      <c r="G22" s="100">
        <f>SUMIFS('0518 4度C'!$I:$I,'0518 4度C'!$A:$A,"新豐7線",'0518 4度C'!$B:$B,"平均")</f>
        <v>15.833333333333334</v>
      </c>
      <c r="H22" s="100">
        <f>SUMIFS('0518 4度C'!$I:$I,'0518 4度C'!$A:$A,"新豐3線",'0518 4度C'!$B:$B,"平均")</f>
        <v>10.75</v>
      </c>
      <c r="I22" s="100">
        <f>SUMIFS('0518 4度C'!$I:$I,'0518 4度C'!$A:$A,"新豐1線",'0518 4度C'!$B:$B,"平均")</f>
        <v>17.888888888888889</v>
      </c>
      <c r="J22" s="101">
        <f>SUMIFS('0518 4度C'!$I:$I,'0518 4度C'!$A:$A,"新豐10線",'0518 4度C'!$B:$B,"平均")</f>
        <v>9.5</v>
      </c>
      <c r="K22" s="99">
        <f>SUMIFS('0518 4度C'!$I:$I,'0518 4度C'!$A:$A,"新豐8線",'0518 4度C'!$B:$B,"平均")</f>
        <v>17.714285714285715</v>
      </c>
      <c r="L22" s="100">
        <f>SUMIFS('0518 4度C'!$I:$I,'0518 4度C'!$A:$A,"新豐9線",'0518 4度C'!$B:$B,"平均")</f>
        <v>17.25</v>
      </c>
      <c r="M22" s="101">
        <f>SUMIFS('0518 4度C'!$I:$I,'0518 4度C'!$A:$A,"新豐4線",'0518 4度C'!$B:$B,"平均")</f>
        <v>15.75</v>
      </c>
    </row>
    <row r="23" spans="2:13" ht="17.25" customHeight="1">
      <c r="B23" s="507" t="s">
        <v>1862</v>
      </c>
      <c r="C23" s="508"/>
      <c r="D23" s="102" t="s">
        <v>177</v>
      </c>
      <c r="E23" s="103" t="s">
        <v>178</v>
      </c>
      <c r="F23" s="103" t="s">
        <v>1863</v>
      </c>
      <c r="G23" s="103" t="s">
        <v>1864</v>
      </c>
      <c r="H23" s="103" t="s">
        <v>180</v>
      </c>
      <c r="I23" s="103" t="s">
        <v>177</v>
      </c>
      <c r="J23" s="104" t="s">
        <v>180</v>
      </c>
      <c r="K23" s="102" t="s">
        <v>1865</v>
      </c>
      <c r="L23" s="103" t="s">
        <v>1865</v>
      </c>
      <c r="M23" s="104" t="s">
        <v>1866</v>
      </c>
    </row>
    <row r="24" spans="2:13" ht="17.25" customHeight="1">
      <c r="B24" s="507" t="s">
        <v>1867</v>
      </c>
      <c r="C24" s="508"/>
      <c r="D24" s="102"/>
      <c r="E24" s="103"/>
      <c r="F24" s="103" t="s">
        <v>1868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1869</v>
      </c>
      <c r="C25" s="510"/>
      <c r="D25" s="105"/>
      <c r="E25" s="106" t="s">
        <v>1870</v>
      </c>
      <c r="F25" s="503" t="s">
        <v>336</v>
      </c>
      <c r="G25" s="504"/>
      <c r="H25" s="106" t="s">
        <v>1871</v>
      </c>
      <c r="I25" s="106" t="s">
        <v>1872</v>
      </c>
      <c r="J25" s="107" t="s">
        <v>1873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05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5" activePane="bottomLeft" state="frozen"/>
      <selection activeCell="D10" sqref="D10:J10"/>
      <selection pane="bottomLeft" activeCell="E10" sqref="C10:E1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1874</v>
      </c>
      <c r="D1" s="3">
        <f>SUM(F5:F71)</f>
        <v>190858</v>
      </c>
      <c r="E1" s="318" t="s">
        <v>2</v>
      </c>
      <c r="F1" s="1">
        <f>SUM(G5:G71)</f>
        <v>6548537.9799999986</v>
      </c>
      <c r="G1" s="1" t="s">
        <v>3</v>
      </c>
      <c r="H1" s="5">
        <f>L8+L12+L45+L55+L16+L62+L31+L40+L23+L71</f>
        <v>157.35317460317461</v>
      </c>
      <c r="I1" s="617" t="s">
        <v>4</v>
      </c>
      <c r="J1" s="617"/>
      <c r="K1" s="617"/>
      <c r="L1" s="617" t="s">
        <v>577</v>
      </c>
      <c r="M1" s="617"/>
      <c r="N1" s="617"/>
      <c r="O1" s="617" t="s">
        <v>6</v>
      </c>
      <c r="P1" s="617"/>
      <c r="Q1" s="617"/>
      <c r="R1" s="617"/>
      <c r="S1" s="617" t="s">
        <v>7</v>
      </c>
      <c r="T1" s="617"/>
      <c r="U1" s="617"/>
      <c r="V1" s="617"/>
      <c r="W1" s="617"/>
      <c r="X1" s="617"/>
      <c r="Y1" s="6" t="s">
        <v>8</v>
      </c>
      <c r="Z1" s="7" t="s">
        <v>1875</v>
      </c>
      <c r="AA1" s="618" t="s">
        <v>10</v>
      </c>
      <c r="AB1" s="618"/>
      <c r="AC1" s="121" t="s">
        <v>8</v>
      </c>
      <c r="AD1" s="7" t="s">
        <v>11</v>
      </c>
      <c r="AE1" s="617" t="s">
        <v>12</v>
      </c>
      <c r="AF1" s="619"/>
      <c r="AG1" s="619"/>
    </row>
    <row r="2" spans="1:33" ht="26.25" customHeight="1">
      <c r="A2" s="37">
        <v>46160</v>
      </c>
      <c r="B2" s="38" t="s">
        <v>483</v>
      </c>
      <c r="C2" s="2" t="s">
        <v>13</v>
      </c>
      <c r="D2" s="10">
        <f>AVERAGE(N8,N12,N45,N55,N16,N62,N23,N31,N40,N71)</f>
        <v>145.36676357051323</v>
      </c>
      <c r="E2" s="11" t="s">
        <v>14</v>
      </c>
      <c r="F2" s="12">
        <f>F1/D1</f>
        <v>34.311047899485473</v>
      </c>
      <c r="G2" s="1" t="s">
        <v>355</v>
      </c>
      <c r="H2" s="323">
        <f>COUNT(H5:H71)</f>
        <v>11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SUM(Y8+Y12+Y16+Y23+Y31+Y40+Y45+Y55+Y62+Y71)</f>
        <v>0</v>
      </c>
      <c r="Z2" s="14">
        <f>SUM(Z8+Z12+Z16+Z23+Z31+Z40+Z45+Z55+Z62+Z71)</f>
        <v>0</v>
      </c>
      <c r="AA2" s="618"/>
      <c r="AB2" s="618"/>
      <c r="AC2" s="122">
        <v>57</v>
      </c>
      <c r="AD2" s="14">
        <f>SUM(AD8+AD12+AD16+AD23+AD31+AD40+AD45+AD55+AD62+AD71)</f>
        <v>0</v>
      </c>
      <c r="AE2" s="619"/>
      <c r="AF2" s="619"/>
      <c r="AG2" s="619"/>
    </row>
    <row r="3" spans="1:33" ht="40.5" customHeight="1">
      <c r="A3" s="575" t="s">
        <v>1876</v>
      </c>
      <c r="B3" s="575" t="s">
        <v>487</v>
      </c>
      <c r="C3" s="575" t="s">
        <v>18</v>
      </c>
      <c r="D3" s="575"/>
      <c r="E3" s="615" t="s">
        <v>876</v>
      </c>
      <c r="F3" s="575" t="s">
        <v>20</v>
      </c>
      <c r="G3" s="615" t="s">
        <v>1877</v>
      </c>
      <c r="H3" s="608" t="s">
        <v>1878</v>
      </c>
      <c r="I3" s="606" t="s">
        <v>492</v>
      </c>
      <c r="J3" s="603" t="s">
        <v>24</v>
      </c>
      <c r="K3" s="613" t="s">
        <v>1879</v>
      </c>
      <c r="L3" s="606" t="s">
        <v>492</v>
      </c>
      <c r="M3" s="603" t="s">
        <v>24</v>
      </c>
      <c r="N3" s="613" t="s">
        <v>1880</v>
      </c>
      <c r="O3" s="606" t="s">
        <v>492</v>
      </c>
      <c r="P3" s="613" t="s">
        <v>1879</v>
      </c>
      <c r="Q3" s="604" t="s">
        <v>26</v>
      </c>
      <c r="R3" s="582" t="s">
        <v>367</v>
      </c>
      <c r="S3" s="614" t="s">
        <v>28</v>
      </c>
      <c r="T3" s="614"/>
      <c r="U3" s="608" t="s">
        <v>29</v>
      </c>
      <c r="V3" s="608" t="s">
        <v>30</v>
      </c>
      <c r="W3" s="575" t="s">
        <v>31</v>
      </c>
      <c r="X3" s="575"/>
      <c r="Y3" s="609" t="s">
        <v>32</v>
      </c>
      <c r="Z3" s="572"/>
      <c r="AA3" s="610" t="s">
        <v>1881</v>
      </c>
      <c r="AB3" s="611"/>
      <c r="AC3" s="609" t="s">
        <v>502</v>
      </c>
      <c r="AD3" s="572"/>
      <c r="AE3" s="603" t="s">
        <v>1882</v>
      </c>
      <c r="AF3" s="604" t="s">
        <v>26</v>
      </c>
      <c r="AG3" s="582" t="s">
        <v>1501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322" t="s">
        <v>36</v>
      </c>
      <c r="T4" s="322" t="s">
        <v>37</v>
      </c>
      <c r="U4" s="608"/>
      <c r="V4" s="608"/>
      <c r="W4" s="318" t="s">
        <v>1883</v>
      </c>
      <c r="X4" s="318" t="s">
        <v>1884</v>
      </c>
      <c r="Y4" s="316" t="s">
        <v>962</v>
      </c>
      <c r="Z4" s="316" t="s">
        <v>41</v>
      </c>
      <c r="AA4" s="612"/>
      <c r="AB4" s="611"/>
      <c r="AC4" s="316" t="s">
        <v>42</v>
      </c>
      <c r="AD4" s="316" t="s">
        <v>43</v>
      </c>
      <c r="AE4" s="603"/>
      <c r="AF4" s="604"/>
      <c r="AG4" s="582"/>
    </row>
    <row r="5" spans="1:33">
      <c r="A5" s="605" t="s">
        <v>44</v>
      </c>
      <c r="B5" s="39" t="s">
        <v>74</v>
      </c>
      <c r="C5" s="607" t="s">
        <v>75</v>
      </c>
      <c r="D5" s="607"/>
      <c r="E5" s="39">
        <v>50.67</v>
      </c>
      <c r="F5" s="322">
        <v>1649</v>
      </c>
      <c r="G5" s="318">
        <f t="shared" ref="G5:G7" si="0">E5*F5</f>
        <v>83554.83</v>
      </c>
      <c r="H5" s="48" t="s">
        <v>126</v>
      </c>
      <c r="I5" s="320">
        <v>17</v>
      </c>
      <c r="J5" s="43">
        <v>2000</v>
      </c>
      <c r="K5" s="18">
        <f t="shared" ref="K5:K68" si="1">J5/I5</f>
        <v>117.64705882352941</v>
      </c>
      <c r="L5" s="320">
        <v>17</v>
      </c>
      <c r="M5" s="19">
        <f t="shared" ref="M5:M7" si="2">F5/V5*60</f>
        <v>1940.0000000000009</v>
      </c>
      <c r="N5" s="18">
        <f t="shared" ref="N5:N68" si="3">M5/L5</f>
        <v>114.11764705882358</v>
      </c>
      <c r="O5" s="20">
        <f t="shared" ref="O5:O68" si="4">L5-I5</f>
        <v>0</v>
      </c>
      <c r="P5" s="21">
        <f t="shared" ref="P5:P68" si="5">N5-K5</f>
        <v>-3.5294117647058272</v>
      </c>
      <c r="Q5" s="317">
        <f t="shared" ref="Q5:Q68" si="6">N5/K5</f>
        <v>0.97000000000000042</v>
      </c>
      <c r="R5" s="573">
        <f>Q8</f>
        <v>0.96336904761904829</v>
      </c>
      <c r="S5" s="49">
        <v>0.70833333333333337</v>
      </c>
      <c r="T5" s="49">
        <v>0.74375000000000002</v>
      </c>
      <c r="U5" s="318"/>
      <c r="V5" s="321">
        <f t="shared" ref="V5:V7" si="7">(T5-S5)*24*60</f>
        <v>50.999999999999979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54" si="8">M5-J5</f>
        <v>-59.999999999999091</v>
      </c>
      <c r="AF5" s="317">
        <f t="shared" ref="AF5:AF68" si="9">M5/J5</f>
        <v>0.97000000000000042</v>
      </c>
      <c r="AG5" s="573">
        <f>AF8</f>
        <v>0.96336904761904829</v>
      </c>
    </row>
    <row r="6" spans="1:33">
      <c r="A6" s="606" t="s">
        <v>44</v>
      </c>
      <c r="B6" s="39" t="s">
        <v>74</v>
      </c>
      <c r="C6" s="607" t="s">
        <v>77</v>
      </c>
      <c r="D6" s="607"/>
      <c r="E6" s="39">
        <v>50.67</v>
      </c>
      <c r="F6" s="322">
        <v>1771</v>
      </c>
      <c r="G6" s="318">
        <f t="shared" si="0"/>
        <v>89736.57</v>
      </c>
      <c r="H6" s="48" t="s">
        <v>126</v>
      </c>
      <c r="I6" s="320">
        <v>15</v>
      </c>
      <c r="J6" s="43">
        <v>2000</v>
      </c>
      <c r="K6" s="18">
        <f t="shared" si="1"/>
        <v>133.33333333333334</v>
      </c>
      <c r="L6" s="320">
        <v>15</v>
      </c>
      <c r="M6" s="19">
        <f t="shared" si="2"/>
        <v>1932.0000000000014</v>
      </c>
      <c r="N6" s="18">
        <f t="shared" si="3"/>
        <v>128.8000000000001</v>
      </c>
      <c r="O6" s="20">
        <f t="shared" si="4"/>
        <v>0</v>
      </c>
      <c r="P6" s="21">
        <f t="shared" si="5"/>
        <v>-4.5333333333332462</v>
      </c>
      <c r="Q6" s="317">
        <f t="shared" si="6"/>
        <v>0.96600000000000064</v>
      </c>
      <c r="R6" s="573"/>
      <c r="S6" s="49">
        <v>0.74722222222222223</v>
      </c>
      <c r="T6" s="49">
        <v>0.78541666666666665</v>
      </c>
      <c r="U6" s="318">
        <f t="shared" ref="U6:U7" si="10">IF(S6=TIME(17,0,0),"",(S6-T5)*24*60)</f>
        <v>4.9999999999999822</v>
      </c>
      <c r="V6" s="321">
        <f t="shared" si="7"/>
        <v>54.999999999999964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-67.999999999998636</v>
      </c>
      <c r="AF6" s="317">
        <f t="shared" si="9"/>
        <v>0.96600000000000064</v>
      </c>
      <c r="AG6" s="573"/>
    </row>
    <row r="7" spans="1:33">
      <c r="A7" s="606" t="s">
        <v>44</v>
      </c>
      <c r="B7" s="39" t="s">
        <v>74</v>
      </c>
      <c r="C7" s="598" t="s">
        <v>78</v>
      </c>
      <c r="D7" s="599"/>
      <c r="E7" s="39">
        <v>52.86</v>
      </c>
      <c r="F7" s="322">
        <v>1781</v>
      </c>
      <c r="G7" s="318">
        <f t="shared" si="0"/>
        <v>94143.66</v>
      </c>
      <c r="H7" s="48" t="s">
        <v>126</v>
      </c>
      <c r="I7" s="320">
        <v>16</v>
      </c>
      <c r="J7" s="43">
        <v>2000</v>
      </c>
      <c r="K7" s="18">
        <f t="shared" si="1"/>
        <v>125</v>
      </c>
      <c r="L7" s="320">
        <v>16</v>
      </c>
      <c r="M7" s="19">
        <f t="shared" si="2"/>
        <v>1908.2142857142871</v>
      </c>
      <c r="N7" s="18">
        <f t="shared" si="3"/>
        <v>119.26339285714295</v>
      </c>
      <c r="O7" s="20">
        <f t="shared" si="4"/>
        <v>0</v>
      </c>
      <c r="P7" s="21">
        <f t="shared" si="5"/>
        <v>-5.7366071428570535</v>
      </c>
      <c r="Q7" s="317">
        <f t="shared" si="6"/>
        <v>0.9541071428571436</v>
      </c>
      <c r="R7" s="573"/>
      <c r="S7" s="49">
        <v>0.79027777777777775</v>
      </c>
      <c r="T7" s="49">
        <v>0.82916666666666661</v>
      </c>
      <c r="U7" s="318">
        <f t="shared" si="10"/>
        <v>6.9999999999999751</v>
      </c>
      <c r="V7" s="321">
        <f t="shared" si="7"/>
        <v>55.999999999999957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-91.785714285712857</v>
      </c>
      <c r="AF7" s="317">
        <f t="shared" si="9"/>
        <v>0.9541071428571436</v>
      </c>
      <c r="AG7" s="573"/>
    </row>
    <row r="8" spans="1:33">
      <c r="A8" s="606" t="s">
        <v>44</v>
      </c>
      <c r="B8" s="39" t="s">
        <v>46</v>
      </c>
      <c r="C8" s="576"/>
      <c r="D8" s="576"/>
      <c r="E8" s="319"/>
      <c r="F8" s="42"/>
      <c r="G8" s="18"/>
      <c r="H8" s="322"/>
      <c r="I8" s="32">
        <v>16</v>
      </c>
      <c r="J8" s="43">
        <v>2000</v>
      </c>
      <c r="K8" s="18">
        <f t="shared" si="1"/>
        <v>125</v>
      </c>
      <c r="L8" s="32">
        <v>16</v>
      </c>
      <c r="M8" s="19">
        <f>AVERAGE(M5:M7)</f>
        <v>1926.7380952380965</v>
      </c>
      <c r="N8" s="18">
        <f t="shared" si="3"/>
        <v>120.42113095238103</v>
      </c>
      <c r="O8" s="20">
        <f t="shared" si="4"/>
        <v>0</v>
      </c>
      <c r="P8" s="21">
        <f t="shared" si="5"/>
        <v>-4.5788690476189657</v>
      </c>
      <c r="Q8" s="317">
        <f t="shared" si="6"/>
        <v>0.96336904761904829</v>
      </c>
      <c r="R8" s="573"/>
      <c r="S8" s="49"/>
      <c r="T8" s="49"/>
      <c r="U8" s="318"/>
      <c r="V8" s="321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-73.261904761903452</v>
      </c>
      <c r="AF8" s="317">
        <f t="shared" si="9"/>
        <v>0.96336904761904829</v>
      </c>
      <c r="AG8" s="573"/>
    </row>
    <row r="9" spans="1:33" ht="15.75" customHeight="1">
      <c r="A9" s="602" t="s">
        <v>1885</v>
      </c>
      <c r="B9" s="39" t="s">
        <v>79</v>
      </c>
      <c r="C9" s="598" t="s">
        <v>80</v>
      </c>
      <c r="D9" s="599"/>
      <c r="E9" s="39">
        <v>39.619999999999997</v>
      </c>
      <c r="F9" s="322">
        <v>5404</v>
      </c>
      <c r="G9" s="318">
        <f t="shared" ref="G9:G11" si="11">E9*F9</f>
        <v>214106.47999999998</v>
      </c>
      <c r="H9" s="48" t="s">
        <v>126</v>
      </c>
      <c r="I9" s="320">
        <v>19</v>
      </c>
      <c r="J9" s="43">
        <v>1500</v>
      </c>
      <c r="K9" s="18">
        <f t="shared" si="1"/>
        <v>78.94736842105263</v>
      </c>
      <c r="L9" s="320">
        <v>19</v>
      </c>
      <c r="M9" s="19">
        <f t="shared" ref="M9:M11" si="12">F9/V9*60</f>
        <v>1428.370044052863</v>
      </c>
      <c r="N9" s="18">
        <f t="shared" si="3"/>
        <v>75.177370739624365</v>
      </c>
      <c r="O9" s="20">
        <f t="shared" si="4"/>
        <v>0</v>
      </c>
      <c r="P9" s="21">
        <f t="shared" si="5"/>
        <v>-3.769997681428265</v>
      </c>
      <c r="Q9" s="317">
        <f t="shared" si="6"/>
        <v>0.95224669603524192</v>
      </c>
      <c r="R9" s="573">
        <f>Q12</f>
        <v>0.95410336727744793</v>
      </c>
      <c r="S9" s="49">
        <v>0.20833333333333334</v>
      </c>
      <c r="T9" s="49">
        <v>0.36597222222222225</v>
      </c>
      <c r="U9" s="318"/>
      <c r="V9" s="321">
        <f t="shared" ref="V9:V11" si="13">(T9-S9)*24*60</f>
        <v>227.00000000000006</v>
      </c>
      <c r="W9" s="25"/>
      <c r="X9" s="25"/>
      <c r="Y9" s="25"/>
      <c r="Z9" s="25"/>
      <c r="AA9" s="575"/>
      <c r="AB9" s="575"/>
      <c r="AC9" s="50">
        <v>3</v>
      </c>
      <c r="AD9" s="27"/>
      <c r="AE9" s="20">
        <f t="shared" si="8"/>
        <v>-71.629955947136978</v>
      </c>
      <c r="AF9" s="317">
        <f t="shared" si="9"/>
        <v>0.95224669603524204</v>
      </c>
      <c r="AG9" s="573">
        <f>AF12</f>
        <v>0.95410336727744793</v>
      </c>
    </row>
    <row r="10" spans="1:33" ht="15.75" customHeight="1">
      <c r="A10" s="602" t="s">
        <v>1886</v>
      </c>
      <c r="B10" s="39" t="s">
        <v>79</v>
      </c>
      <c r="C10" s="598" t="s">
        <v>81</v>
      </c>
      <c r="D10" s="599"/>
      <c r="E10" s="39">
        <v>39.799999999999997</v>
      </c>
      <c r="F10" s="322">
        <v>3300</v>
      </c>
      <c r="G10" s="318">
        <f t="shared" si="11"/>
        <v>131340</v>
      </c>
      <c r="H10" s="48">
        <v>2</v>
      </c>
      <c r="I10" s="320">
        <v>17</v>
      </c>
      <c r="J10" s="43">
        <v>1500</v>
      </c>
      <c r="K10" s="18">
        <f t="shared" si="1"/>
        <v>88.235294117647058</v>
      </c>
      <c r="L10" s="320">
        <v>17</v>
      </c>
      <c r="M10" s="19">
        <f t="shared" si="12"/>
        <v>1434.7826086956522</v>
      </c>
      <c r="N10" s="18">
        <f t="shared" si="3"/>
        <v>84.398976982097196</v>
      </c>
      <c r="O10" s="20">
        <f t="shared" si="4"/>
        <v>0</v>
      </c>
      <c r="P10" s="21">
        <f t="shared" si="5"/>
        <v>-3.8363171355498622</v>
      </c>
      <c r="Q10" s="317">
        <f t="shared" si="6"/>
        <v>0.95652173913043492</v>
      </c>
      <c r="R10" s="573"/>
      <c r="S10" s="49">
        <v>0.37083333333333335</v>
      </c>
      <c r="T10" s="49">
        <v>0.46666666666666667</v>
      </c>
      <c r="U10" s="318">
        <f t="shared" ref="U10:U11" si="14">IF(S10=TIME(17,0,0),"",(S10-T9)*24*60)</f>
        <v>6.9999999999999751</v>
      </c>
      <c r="V10" s="321">
        <f t="shared" si="13"/>
        <v>138</v>
      </c>
      <c r="W10" s="25">
        <f>T10</f>
        <v>0.46666666666666667</v>
      </c>
      <c r="X10" s="25">
        <f>S11</f>
        <v>0.50763888888888886</v>
      </c>
      <c r="Y10" s="25"/>
      <c r="Z10" s="25"/>
      <c r="AA10" s="575"/>
      <c r="AB10" s="575"/>
      <c r="AC10" s="50"/>
      <c r="AD10" s="27"/>
      <c r="AE10" s="20">
        <f t="shared" si="8"/>
        <v>-65.217391304347757</v>
      </c>
      <c r="AF10" s="317">
        <f t="shared" si="9"/>
        <v>0.95652173913043481</v>
      </c>
      <c r="AG10" s="573"/>
    </row>
    <row r="11" spans="1:33" ht="15.75" customHeight="1">
      <c r="A11" s="602" t="s">
        <v>47</v>
      </c>
      <c r="B11" s="39" t="s">
        <v>79</v>
      </c>
      <c r="C11" s="598" t="s">
        <v>81</v>
      </c>
      <c r="D11" s="599"/>
      <c r="E11" s="39">
        <v>39.799999999999997</v>
      </c>
      <c r="F11" s="322">
        <v>4577</v>
      </c>
      <c r="G11" s="318">
        <f t="shared" si="11"/>
        <v>182164.59999999998</v>
      </c>
      <c r="H11" s="48" t="s">
        <v>126</v>
      </c>
      <c r="I11" s="320">
        <v>17</v>
      </c>
      <c r="J11" s="43">
        <v>1500</v>
      </c>
      <c r="K11" s="18">
        <f t="shared" si="1"/>
        <v>88.235294117647058</v>
      </c>
      <c r="L11" s="320">
        <v>17</v>
      </c>
      <c r="M11" s="19">
        <f t="shared" si="12"/>
        <v>1430.3125000000005</v>
      </c>
      <c r="N11" s="18">
        <f t="shared" si="3"/>
        <v>84.136029411764738</v>
      </c>
      <c r="O11" s="20">
        <f t="shared" si="4"/>
        <v>0</v>
      </c>
      <c r="P11" s="21">
        <f t="shared" si="5"/>
        <v>-4.0992647058823195</v>
      </c>
      <c r="Q11" s="317">
        <f t="shared" si="6"/>
        <v>0.95354166666666706</v>
      </c>
      <c r="R11" s="573"/>
      <c r="S11" s="49">
        <v>0.50763888888888886</v>
      </c>
      <c r="T11" s="49">
        <v>0.64097222222222217</v>
      </c>
      <c r="U11" s="318">
        <f t="shared" si="14"/>
        <v>58.99999999999995</v>
      </c>
      <c r="V11" s="321">
        <f t="shared" si="13"/>
        <v>191.99999999999994</v>
      </c>
      <c r="W11" s="25"/>
      <c r="X11" s="25"/>
      <c r="Y11" s="25"/>
      <c r="Z11" s="25"/>
      <c r="AA11" s="575"/>
      <c r="AB11" s="575"/>
      <c r="AC11" s="50"/>
      <c r="AD11" s="27"/>
      <c r="AE11" s="20">
        <f t="shared" si="8"/>
        <v>-69.687499999999545</v>
      </c>
      <c r="AF11" s="317">
        <f t="shared" si="9"/>
        <v>0.95354166666666695</v>
      </c>
      <c r="AG11" s="573"/>
    </row>
    <row r="12" spans="1:33" ht="16.5" customHeight="1">
      <c r="A12" s="602" t="s">
        <v>47</v>
      </c>
      <c r="B12" s="39" t="s">
        <v>46</v>
      </c>
      <c r="C12" s="576"/>
      <c r="D12" s="576"/>
      <c r="E12" s="319"/>
      <c r="F12" s="43"/>
      <c r="G12" s="19"/>
      <c r="H12" s="322"/>
      <c r="I12" s="32">
        <v>17.666666666666668</v>
      </c>
      <c r="J12" s="43">
        <v>1500</v>
      </c>
      <c r="K12" s="18">
        <f t="shared" si="1"/>
        <v>84.905660377358487</v>
      </c>
      <c r="L12" s="32">
        <v>17.666666666666668</v>
      </c>
      <c r="M12" s="19">
        <f>AVERAGE(M9:M11)</f>
        <v>1431.1550509161718</v>
      </c>
      <c r="N12" s="18">
        <f t="shared" si="3"/>
        <v>81.008776466953123</v>
      </c>
      <c r="O12" s="20">
        <f t="shared" si="4"/>
        <v>0</v>
      </c>
      <c r="P12" s="21">
        <f t="shared" si="5"/>
        <v>-3.8968839104053643</v>
      </c>
      <c r="Q12" s="317">
        <f t="shared" si="6"/>
        <v>0.95410336727744793</v>
      </c>
      <c r="R12" s="573"/>
      <c r="S12" s="49"/>
      <c r="T12" s="49"/>
      <c r="U12" s="18"/>
      <c r="V12" s="321"/>
      <c r="W12" s="18"/>
      <c r="X12" s="18"/>
      <c r="Y12" s="33">
        <f>SUM(Y9:Y11)</f>
        <v>0</v>
      </c>
      <c r="Z12" s="33">
        <f>SUM(Z9:Z11)</f>
        <v>0</v>
      </c>
      <c r="AA12" s="572"/>
      <c r="AB12" s="572"/>
      <c r="AC12" s="33">
        <v>3</v>
      </c>
      <c r="AD12" s="33">
        <f>SUM(AD9:AD11)</f>
        <v>0</v>
      </c>
      <c r="AE12" s="20">
        <f t="shared" si="8"/>
        <v>-68.844949083828169</v>
      </c>
      <c r="AF12" s="317">
        <f t="shared" si="9"/>
        <v>0.95410336727744793</v>
      </c>
      <c r="AG12" s="573"/>
    </row>
    <row r="13" spans="1:33" ht="16.5" customHeight="1">
      <c r="A13" s="600" t="s">
        <v>1887</v>
      </c>
      <c r="B13" s="322" t="s">
        <v>82</v>
      </c>
      <c r="C13" s="594" t="s">
        <v>83</v>
      </c>
      <c r="D13" s="594"/>
      <c r="E13" s="39">
        <v>41</v>
      </c>
      <c r="F13" s="322">
        <v>2125</v>
      </c>
      <c r="G13" s="318">
        <f t="shared" ref="G13:G15" si="15">E13*F13</f>
        <v>87125</v>
      </c>
      <c r="H13" s="48" t="s">
        <v>126</v>
      </c>
      <c r="I13" s="320">
        <v>26</v>
      </c>
      <c r="J13" s="43">
        <v>1500</v>
      </c>
      <c r="K13" s="18">
        <f t="shared" si="1"/>
        <v>57.692307692307693</v>
      </c>
      <c r="L13" s="320">
        <v>26</v>
      </c>
      <c r="M13" s="19">
        <f t="shared" ref="M13:M15" si="16">F13/V13*60</f>
        <v>1432.5842696629206</v>
      </c>
      <c r="N13" s="18">
        <f t="shared" si="3"/>
        <v>55.09939498703541</v>
      </c>
      <c r="O13" s="20">
        <f t="shared" si="4"/>
        <v>0</v>
      </c>
      <c r="P13" s="21">
        <f t="shared" si="5"/>
        <v>-2.5929127052722833</v>
      </c>
      <c r="Q13" s="317">
        <f t="shared" si="6"/>
        <v>0.95505617977528046</v>
      </c>
      <c r="R13" s="573">
        <f>Q16</f>
        <v>0.96120906338341427</v>
      </c>
      <c r="S13" s="49">
        <v>0.20833333333333334</v>
      </c>
      <c r="T13" s="49">
        <v>0.27013888888888893</v>
      </c>
      <c r="U13" s="318"/>
      <c r="V13" s="321">
        <f t="shared" ref="V13:V15" si="17">(T13-S13)*24*60</f>
        <v>89.000000000000043</v>
      </c>
      <c r="W13" s="30"/>
      <c r="X13" s="30"/>
      <c r="Y13" s="30"/>
      <c r="Z13" s="30"/>
      <c r="AA13" s="575"/>
      <c r="AB13" s="575"/>
      <c r="AC13" s="50">
        <v>3</v>
      </c>
      <c r="AD13" s="27"/>
      <c r="AE13" s="20">
        <f t="shared" si="8"/>
        <v>-67.415730337079367</v>
      </c>
      <c r="AF13" s="317">
        <f t="shared" si="9"/>
        <v>0.95505617977528046</v>
      </c>
      <c r="AG13" s="573">
        <f>AF16</f>
        <v>0.96120906338341427</v>
      </c>
    </row>
    <row r="14" spans="1:33" ht="16.5" customHeight="1">
      <c r="A14" s="601" t="s">
        <v>50</v>
      </c>
      <c r="B14" s="322" t="s">
        <v>74</v>
      </c>
      <c r="C14" s="594" t="s">
        <v>85</v>
      </c>
      <c r="D14" s="594"/>
      <c r="E14" s="39">
        <v>53.68</v>
      </c>
      <c r="F14" s="322">
        <v>1400</v>
      </c>
      <c r="G14" s="318">
        <f t="shared" si="15"/>
        <v>75152</v>
      </c>
      <c r="H14" s="48" t="s">
        <v>126</v>
      </c>
      <c r="I14" s="320">
        <v>16</v>
      </c>
      <c r="J14" s="43">
        <v>1500</v>
      </c>
      <c r="K14" s="18">
        <f t="shared" si="1"/>
        <v>93.75</v>
      </c>
      <c r="L14" s="320">
        <v>16</v>
      </c>
      <c r="M14" s="19">
        <f t="shared" si="16"/>
        <v>1448.2758620689665</v>
      </c>
      <c r="N14" s="18">
        <f t="shared" si="3"/>
        <v>90.517241379310406</v>
      </c>
      <c r="O14" s="20">
        <f t="shared" si="4"/>
        <v>0</v>
      </c>
      <c r="P14" s="21">
        <f t="shared" si="5"/>
        <v>-3.2327586206895944</v>
      </c>
      <c r="Q14" s="317">
        <f t="shared" si="6"/>
        <v>0.96551724137931094</v>
      </c>
      <c r="R14" s="573"/>
      <c r="S14" s="49">
        <v>0.70833333333333337</v>
      </c>
      <c r="T14" s="49">
        <v>0.74861111111111112</v>
      </c>
      <c r="U14" s="318" t="str">
        <f t="shared" ref="U14:U15" si="18">IF(S14=TIME(17,0,0),"",(S14-T13)*24*60)</f>
        <v/>
      </c>
      <c r="V14" s="321">
        <f t="shared" si="17"/>
        <v>57.999999999999957</v>
      </c>
      <c r="W14" s="25"/>
      <c r="X14" s="25"/>
      <c r="Y14" s="25"/>
      <c r="Z14" s="25"/>
      <c r="AA14" s="575"/>
      <c r="AB14" s="575"/>
      <c r="AC14" s="50"/>
      <c r="AD14" s="27"/>
      <c r="AE14" s="20">
        <f t="shared" si="8"/>
        <v>-51.724137931033511</v>
      </c>
      <c r="AF14" s="317">
        <f t="shared" si="9"/>
        <v>0.96551724137931094</v>
      </c>
      <c r="AG14" s="573"/>
    </row>
    <row r="15" spans="1:33" ht="16.5" customHeight="1">
      <c r="A15" s="601" t="s">
        <v>50</v>
      </c>
      <c r="B15" s="322" t="s">
        <v>74</v>
      </c>
      <c r="C15" s="594" t="s">
        <v>86</v>
      </c>
      <c r="D15" s="594"/>
      <c r="E15" s="39">
        <v>50.92</v>
      </c>
      <c r="F15" s="322">
        <v>2599</v>
      </c>
      <c r="G15" s="318">
        <f t="shared" si="15"/>
        <v>132341.08000000002</v>
      </c>
      <c r="H15" s="48" t="s">
        <v>126</v>
      </c>
      <c r="I15" s="320">
        <v>15</v>
      </c>
      <c r="J15" s="43">
        <v>2000</v>
      </c>
      <c r="K15" s="18">
        <f t="shared" si="1"/>
        <v>133.33333333333334</v>
      </c>
      <c r="L15" s="320">
        <v>15</v>
      </c>
      <c r="M15" s="19">
        <f t="shared" si="16"/>
        <v>1925.1851851851845</v>
      </c>
      <c r="N15" s="18">
        <f t="shared" si="3"/>
        <v>128.34567901234564</v>
      </c>
      <c r="O15" s="20">
        <f t="shared" si="4"/>
        <v>0</v>
      </c>
      <c r="P15" s="21">
        <f t="shared" si="5"/>
        <v>-4.9876543209877013</v>
      </c>
      <c r="Q15" s="317">
        <f t="shared" si="6"/>
        <v>0.96259259259259222</v>
      </c>
      <c r="R15" s="573"/>
      <c r="S15" s="49">
        <v>0.75208333333333333</v>
      </c>
      <c r="T15" s="49">
        <v>0.80833333333333335</v>
      </c>
      <c r="U15" s="318">
        <f t="shared" si="18"/>
        <v>4.9999999999999822</v>
      </c>
      <c r="V15" s="321">
        <f t="shared" si="17"/>
        <v>81.000000000000028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-74.814814814815463</v>
      </c>
      <c r="AF15" s="317">
        <f t="shared" si="9"/>
        <v>0.96259259259259222</v>
      </c>
      <c r="AG15" s="573"/>
    </row>
    <row r="16" spans="1:33" ht="16.5" customHeight="1">
      <c r="A16" s="601" t="s">
        <v>50</v>
      </c>
      <c r="B16" s="39" t="s">
        <v>1888</v>
      </c>
      <c r="C16" s="576"/>
      <c r="D16" s="576"/>
      <c r="E16" s="319"/>
      <c r="F16" s="42"/>
      <c r="G16" s="18"/>
      <c r="H16" s="322"/>
      <c r="I16" s="32">
        <v>19</v>
      </c>
      <c r="J16" s="43">
        <v>1666.6666666666667</v>
      </c>
      <c r="K16" s="18">
        <f t="shared" si="1"/>
        <v>87.719298245614041</v>
      </c>
      <c r="L16" s="32">
        <v>19</v>
      </c>
      <c r="M16" s="19">
        <f>AVERAGE(M13:M15)</f>
        <v>1602.0151056390239</v>
      </c>
      <c r="N16" s="18">
        <f t="shared" si="3"/>
        <v>84.316584507317046</v>
      </c>
      <c r="O16" s="20">
        <f t="shared" si="4"/>
        <v>0</v>
      </c>
      <c r="P16" s="21">
        <f t="shared" si="5"/>
        <v>-3.4027137382969954</v>
      </c>
      <c r="Q16" s="317">
        <f t="shared" si="6"/>
        <v>0.96120906338341427</v>
      </c>
      <c r="R16" s="573"/>
      <c r="S16" s="49"/>
      <c r="T16" s="49"/>
      <c r="U16" s="318"/>
      <c r="V16" s="321"/>
      <c r="W16" s="18"/>
      <c r="X16" s="18"/>
      <c r="Y16" s="33">
        <f>SUM(Y13:Y15)</f>
        <v>0</v>
      </c>
      <c r="Z16" s="33">
        <f>SUM(Z13:Z15)</f>
        <v>0</v>
      </c>
      <c r="AA16" s="572"/>
      <c r="AB16" s="572"/>
      <c r="AC16" s="33">
        <v>3</v>
      </c>
      <c r="AD16" s="33">
        <f>SUM(AD13:AD15)</f>
        <v>0</v>
      </c>
      <c r="AE16" s="20">
        <f t="shared" si="8"/>
        <v>-64.651561027642856</v>
      </c>
      <c r="AF16" s="317">
        <f t="shared" si="9"/>
        <v>0.96120906338341427</v>
      </c>
      <c r="AG16" s="573"/>
    </row>
    <row r="17" spans="1:33" ht="15.75" customHeight="1">
      <c r="A17" s="596" t="s">
        <v>53</v>
      </c>
      <c r="B17" s="39" t="s">
        <v>74</v>
      </c>
      <c r="C17" s="594" t="s">
        <v>84</v>
      </c>
      <c r="D17" s="594"/>
      <c r="E17" s="39">
        <v>54.09</v>
      </c>
      <c r="F17" s="322">
        <v>2321</v>
      </c>
      <c r="G17" s="318">
        <f t="shared" ref="G17:G22" si="19">E17*F17</f>
        <v>125542.89000000001</v>
      </c>
      <c r="H17" s="48" t="s">
        <v>126</v>
      </c>
      <c r="I17" s="320">
        <v>17</v>
      </c>
      <c r="J17" s="43">
        <v>1500</v>
      </c>
      <c r="K17" s="18">
        <f t="shared" si="1"/>
        <v>88.235294117647058</v>
      </c>
      <c r="L17" s="320">
        <v>17</v>
      </c>
      <c r="M17" s="19">
        <f t="shared" ref="M17:M22" si="20">F17/V17*60</f>
        <v>1435.6701030927834</v>
      </c>
      <c r="N17" s="18">
        <f t="shared" si="3"/>
        <v>84.451182534869616</v>
      </c>
      <c r="O17" s="20">
        <f t="shared" si="4"/>
        <v>0</v>
      </c>
      <c r="P17" s="21">
        <f t="shared" si="5"/>
        <v>-3.7841115827774416</v>
      </c>
      <c r="Q17" s="317">
        <f t="shared" si="6"/>
        <v>0.95711340206185569</v>
      </c>
      <c r="R17" s="573">
        <f>Q23</f>
        <v>0.95772010715539313</v>
      </c>
      <c r="S17" s="49">
        <v>0.20833333333333334</v>
      </c>
      <c r="T17" s="49">
        <v>0.27569444444444446</v>
      </c>
      <c r="U17" s="318"/>
      <c r="V17" s="321">
        <f t="shared" ref="V17:V22" si="21">(T17-S17)*24*60</f>
        <v>97.000000000000014</v>
      </c>
      <c r="W17" s="30"/>
      <c r="X17" s="30"/>
      <c r="Y17" s="30"/>
      <c r="Z17" s="30"/>
      <c r="AA17" s="575"/>
      <c r="AB17" s="575"/>
      <c r="AC17" s="50">
        <v>6</v>
      </c>
      <c r="AD17" s="27"/>
      <c r="AE17" s="20">
        <f t="shared" si="8"/>
        <v>-64.329896907216607</v>
      </c>
      <c r="AF17" s="317">
        <f t="shared" si="9"/>
        <v>0.95711340206185558</v>
      </c>
      <c r="AG17" s="573">
        <f>AF23</f>
        <v>0.95772010715539313</v>
      </c>
    </row>
    <row r="18" spans="1:33" ht="15.75" customHeight="1">
      <c r="A18" s="597" t="s">
        <v>53</v>
      </c>
      <c r="B18" s="39" t="s">
        <v>74</v>
      </c>
      <c r="C18" s="594" t="s">
        <v>89</v>
      </c>
      <c r="D18" s="594"/>
      <c r="E18" s="39">
        <v>50.67</v>
      </c>
      <c r="F18" s="322">
        <v>2344</v>
      </c>
      <c r="G18" s="318">
        <f t="shared" si="19"/>
        <v>118770.48000000001</v>
      </c>
      <c r="H18" s="48" t="s">
        <v>126</v>
      </c>
      <c r="I18" s="320">
        <v>17</v>
      </c>
      <c r="J18" s="43">
        <v>2000</v>
      </c>
      <c r="K18" s="18">
        <f t="shared" si="1"/>
        <v>117.64705882352941</v>
      </c>
      <c r="L18" s="320">
        <v>17</v>
      </c>
      <c r="M18" s="19">
        <f t="shared" si="20"/>
        <v>1926.5753424657537</v>
      </c>
      <c r="N18" s="18">
        <f t="shared" si="3"/>
        <v>113.32796132151492</v>
      </c>
      <c r="O18" s="20">
        <f t="shared" si="4"/>
        <v>0</v>
      </c>
      <c r="P18" s="21">
        <f t="shared" si="5"/>
        <v>-4.3190975020144862</v>
      </c>
      <c r="Q18" s="317">
        <f t="shared" si="6"/>
        <v>0.96328767123287684</v>
      </c>
      <c r="R18" s="573"/>
      <c r="S18" s="49">
        <v>0.27986111111111112</v>
      </c>
      <c r="T18" s="49">
        <v>0.33055555555555555</v>
      </c>
      <c r="U18" s="318">
        <f t="shared" ref="U18:U22" si="22">IF(S18=TIME(17,0,0),"",(S18-T17)*24*60)</f>
        <v>5.9999999999999787</v>
      </c>
      <c r="V18" s="321">
        <f t="shared" si="21"/>
        <v>72.999999999999986</v>
      </c>
      <c r="W18" s="25"/>
      <c r="X18" s="318"/>
      <c r="Y18" s="318"/>
      <c r="Z18" s="318"/>
      <c r="AA18" s="575"/>
      <c r="AB18" s="575"/>
      <c r="AC18" s="50"/>
      <c r="AD18" s="27"/>
      <c r="AE18" s="20">
        <f t="shared" si="8"/>
        <v>-73.424657534246307</v>
      </c>
      <c r="AF18" s="317">
        <f t="shared" si="9"/>
        <v>0.96328767123287684</v>
      </c>
      <c r="AG18" s="573"/>
    </row>
    <row r="19" spans="1:33" ht="15.75" customHeight="1">
      <c r="A19" s="597" t="s">
        <v>53</v>
      </c>
      <c r="B19" s="39" t="s">
        <v>74</v>
      </c>
      <c r="C19" s="594" t="s">
        <v>90</v>
      </c>
      <c r="D19" s="594"/>
      <c r="E19" s="39">
        <v>57.73</v>
      </c>
      <c r="F19" s="322">
        <v>2766</v>
      </c>
      <c r="G19" s="318">
        <f t="shared" si="19"/>
        <v>159681.18</v>
      </c>
      <c r="H19" s="48" t="s">
        <v>126</v>
      </c>
      <c r="I19" s="320">
        <v>14</v>
      </c>
      <c r="J19" s="43">
        <v>2000</v>
      </c>
      <c r="K19" s="18">
        <f t="shared" si="1"/>
        <v>142.85714285714286</v>
      </c>
      <c r="L19" s="320">
        <v>14</v>
      </c>
      <c r="M19" s="19">
        <f t="shared" si="20"/>
        <v>1907.5862068965514</v>
      </c>
      <c r="N19" s="18">
        <f t="shared" si="3"/>
        <v>136.25615763546796</v>
      </c>
      <c r="O19" s="20">
        <f t="shared" si="4"/>
        <v>0</v>
      </c>
      <c r="P19" s="21">
        <f t="shared" si="5"/>
        <v>-6.6009852216749039</v>
      </c>
      <c r="Q19" s="317">
        <f t="shared" si="6"/>
        <v>0.95379310344827573</v>
      </c>
      <c r="R19" s="573"/>
      <c r="S19" s="49">
        <v>0.33402777777777776</v>
      </c>
      <c r="T19" s="49">
        <v>0.39444444444444443</v>
      </c>
      <c r="U19" s="318">
        <f t="shared" si="22"/>
        <v>4.9999999999999822</v>
      </c>
      <c r="V19" s="321">
        <f t="shared" si="21"/>
        <v>87.000000000000014</v>
      </c>
      <c r="W19" s="25"/>
      <c r="X19" s="318"/>
      <c r="Y19" s="318"/>
      <c r="Z19" s="318"/>
      <c r="AA19" s="575"/>
      <c r="AB19" s="575"/>
      <c r="AC19" s="50"/>
      <c r="AD19" s="27"/>
      <c r="AE19" s="20">
        <f t="shared" si="8"/>
        <v>-92.413793103448597</v>
      </c>
      <c r="AF19" s="317">
        <f t="shared" si="9"/>
        <v>0.95379310344827573</v>
      </c>
      <c r="AG19" s="573"/>
    </row>
    <row r="20" spans="1:33" ht="15.75" customHeight="1">
      <c r="A20" s="597" t="s">
        <v>53</v>
      </c>
      <c r="B20" s="39" t="s">
        <v>74</v>
      </c>
      <c r="C20" s="594" t="s">
        <v>1232</v>
      </c>
      <c r="D20" s="594"/>
      <c r="E20" s="39">
        <v>53.27</v>
      </c>
      <c r="F20" s="322">
        <v>2298</v>
      </c>
      <c r="G20" s="318">
        <f t="shared" si="19"/>
        <v>122414.46</v>
      </c>
      <c r="H20" s="48" t="s">
        <v>126</v>
      </c>
      <c r="I20" s="320">
        <v>16</v>
      </c>
      <c r="J20" s="43">
        <v>2000</v>
      </c>
      <c r="K20" s="18">
        <f t="shared" si="1"/>
        <v>125</v>
      </c>
      <c r="L20" s="320">
        <v>16</v>
      </c>
      <c r="M20" s="19">
        <f t="shared" si="20"/>
        <v>1915.0000000000002</v>
      </c>
      <c r="N20" s="18">
        <f t="shared" si="3"/>
        <v>119.68750000000001</v>
      </c>
      <c r="O20" s="20">
        <f t="shared" si="4"/>
        <v>0</v>
      </c>
      <c r="P20" s="21">
        <f t="shared" si="5"/>
        <v>-5.3124999999999858</v>
      </c>
      <c r="Q20" s="317">
        <f t="shared" si="6"/>
        <v>0.95750000000000013</v>
      </c>
      <c r="R20" s="573"/>
      <c r="S20" s="49">
        <v>0.39861111111111108</v>
      </c>
      <c r="T20" s="49">
        <v>0.44861111111111107</v>
      </c>
      <c r="U20" s="318">
        <f t="shared" si="22"/>
        <v>5.9999999999999787</v>
      </c>
      <c r="V20" s="321">
        <f t="shared" si="21"/>
        <v>71.999999999999986</v>
      </c>
      <c r="W20" s="25"/>
      <c r="X20" s="318"/>
      <c r="Y20" s="318"/>
      <c r="Z20" s="318"/>
      <c r="AA20" s="575"/>
      <c r="AB20" s="575"/>
      <c r="AC20" s="50"/>
      <c r="AD20" s="27"/>
      <c r="AE20" s="20">
        <f t="shared" si="8"/>
        <v>-84.999999999999773</v>
      </c>
      <c r="AF20" s="317">
        <f t="shared" si="9"/>
        <v>0.95750000000000013</v>
      </c>
      <c r="AG20" s="573"/>
    </row>
    <row r="21" spans="1:33" ht="15.75" customHeight="1">
      <c r="A21" s="597" t="s">
        <v>1889</v>
      </c>
      <c r="B21" s="39" t="s">
        <v>74</v>
      </c>
      <c r="C21" s="594" t="s">
        <v>92</v>
      </c>
      <c r="D21" s="594"/>
      <c r="E21" s="39">
        <v>50.49</v>
      </c>
      <c r="F21" s="322">
        <v>2174</v>
      </c>
      <c r="G21" s="318">
        <f t="shared" si="19"/>
        <v>109765.26000000001</v>
      </c>
      <c r="H21" s="48" t="s">
        <v>126</v>
      </c>
      <c r="I21" s="320">
        <v>15</v>
      </c>
      <c r="J21" s="43">
        <v>2000</v>
      </c>
      <c r="K21" s="18">
        <f t="shared" si="1"/>
        <v>133.33333333333334</v>
      </c>
      <c r="L21" s="320">
        <v>15</v>
      </c>
      <c r="M21" s="19">
        <f t="shared" si="20"/>
        <v>1918.2352941176496</v>
      </c>
      <c r="N21" s="18">
        <f t="shared" si="3"/>
        <v>127.88235294117663</v>
      </c>
      <c r="O21" s="20">
        <f t="shared" si="4"/>
        <v>0</v>
      </c>
      <c r="P21" s="21">
        <f t="shared" si="5"/>
        <v>-5.4509803921567084</v>
      </c>
      <c r="Q21" s="317">
        <f t="shared" si="6"/>
        <v>0.95911764705882474</v>
      </c>
      <c r="R21" s="573"/>
      <c r="S21" s="49">
        <v>0.70833333333333337</v>
      </c>
      <c r="T21" s="49">
        <v>0.75555555555555554</v>
      </c>
      <c r="U21" s="318" t="str">
        <f t="shared" si="22"/>
        <v/>
      </c>
      <c r="V21" s="321">
        <f t="shared" si="21"/>
        <v>67.999999999999915</v>
      </c>
      <c r="W21" s="25"/>
      <c r="X21" s="25"/>
      <c r="Y21" s="318"/>
      <c r="Z21" s="318"/>
      <c r="AA21" s="575"/>
      <c r="AB21" s="575"/>
      <c r="AC21" s="50"/>
      <c r="AD21" s="27"/>
      <c r="AE21" s="20">
        <f t="shared" si="8"/>
        <v>-81.764705882350427</v>
      </c>
      <c r="AF21" s="317">
        <f t="shared" si="9"/>
        <v>0.95911764705882474</v>
      </c>
      <c r="AG21" s="573"/>
    </row>
    <row r="22" spans="1:33" ht="15.75" customHeight="1">
      <c r="A22" s="597" t="s">
        <v>53</v>
      </c>
      <c r="B22" s="39" t="s">
        <v>74</v>
      </c>
      <c r="C22" s="594" t="s">
        <v>93</v>
      </c>
      <c r="D22" s="594"/>
      <c r="E22" s="39">
        <v>50.98</v>
      </c>
      <c r="F22" s="322">
        <v>2675</v>
      </c>
      <c r="G22" s="318">
        <f t="shared" si="19"/>
        <v>136371.5</v>
      </c>
      <c r="H22" s="48" t="s">
        <v>126</v>
      </c>
      <c r="I22" s="320">
        <v>16</v>
      </c>
      <c r="J22" s="43">
        <v>2000</v>
      </c>
      <c r="K22" s="18">
        <f t="shared" si="1"/>
        <v>125</v>
      </c>
      <c r="L22" s="320">
        <v>16</v>
      </c>
      <c r="M22" s="19">
        <f t="shared" si="20"/>
        <v>1910.7142857142851</v>
      </c>
      <c r="N22" s="18">
        <f t="shared" si="3"/>
        <v>119.41964285714282</v>
      </c>
      <c r="O22" s="20">
        <f t="shared" si="4"/>
        <v>0</v>
      </c>
      <c r="P22" s="21">
        <f t="shared" si="5"/>
        <v>-5.5803571428571814</v>
      </c>
      <c r="Q22" s="317">
        <f t="shared" si="6"/>
        <v>0.95535714285714257</v>
      </c>
      <c r="R22" s="573"/>
      <c r="S22" s="49">
        <v>0.76041666666666663</v>
      </c>
      <c r="T22" s="49">
        <v>0.81874999999999998</v>
      </c>
      <c r="U22" s="318">
        <f t="shared" si="22"/>
        <v>6.9999999999999751</v>
      </c>
      <c r="V22" s="321">
        <f t="shared" si="21"/>
        <v>84.000000000000028</v>
      </c>
      <c r="W22" s="25"/>
      <c r="X22" s="30"/>
      <c r="Y22" s="30"/>
      <c r="Z22" s="30"/>
      <c r="AA22" s="575"/>
      <c r="AB22" s="575"/>
      <c r="AC22" s="50"/>
      <c r="AD22" s="27"/>
      <c r="AE22" s="20">
        <f t="shared" si="8"/>
        <v>-89.285714285714903</v>
      </c>
      <c r="AF22" s="317">
        <f t="shared" si="9"/>
        <v>0.95535714285714257</v>
      </c>
      <c r="AG22" s="573"/>
    </row>
    <row r="23" spans="1:33" ht="15.75" customHeight="1">
      <c r="A23" s="597" t="s">
        <v>53</v>
      </c>
      <c r="B23" s="39" t="s">
        <v>1890</v>
      </c>
      <c r="C23" s="576"/>
      <c r="D23" s="576"/>
      <c r="E23" s="319"/>
      <c r="F23" s="322"/>
      <c r="G23" s="318"/>
      <c r="H23" s="322"/>
      <c r="I23" s="32">
        <v>15.833333333333334</v>
      </c>
      <c r="J23" s="43">
        <v>1916.6666666666667</v>
      </c>
      <c r="K23" s="18">
        <f t="shared" si="1"/>
        <v>121.05263157894737</v>
      </c>
      <c r="L23" s="32">
        <v>15.833333333333334</v>
      </c>
      <c r="M23" s="19">
        <f>AVERAGE(M17:M22)</f>
        <v>1835.6302053811703</v>
      </c>
      <c r="N23" s="18">
        <f t="shared" si="3"/>
        <v>115.9345392872318</v>
      </c>
      <c r="O23" s="20">
        <f t="shared" si="4"/>
        <v>0</v>
      </c>
      <c r="P23" s="21">
        <f t="shared" si="5"/>
        <v>-5.1180922917155698</v>
      </c>
      <c r="Q23" s="317">
        <f t="shared" si="6"/>
        <v>0.95772010715539313</v>
      </c>
      <c r="R23" s="573"/>
      <c r="S23" s="49"/>
      <c r="T23" s="49"/>
      <c r="U23" s="18"/>
      <c r="V23" s="321"/>
      <c r="W23" s="18"/>
      <c r="X23" s="18"/>
      <c r="Y23" s="33">
        <f>SUM(Y17:Y22)</f>
        <v>0</v>
      </c>
      <c r="Z23" s="33">
        <f>SUM(Z17:Z22)</f>
        <v>0</v>
      </c>
      <c r="AA23" s="572"/>
      <c r="AB23" s="572"/>
      <c r="AC23" s="33">
        <v>6</v>
      </c>
      <c r="AD23" s="33">
        <f>SUM(AD17:AD22)</f>
        <v>0</v>
      </c>
      <c r="AE23" s="20">
        <f t="shared" si="8"/>
        <v>-81.036461285496443</v>
      </c>
      <c r="AF23" s="317">
        <f t="shared" si="9"/>
        <v>0.95772010715539313</v>
      </c>
      <c r="AG23" s="573"/>
    </row>
    <row r="24" spans="1:33" ht="15.75" customHeight="1">
      <c r="A24" s="595" t="s">
        <v>1891</v>
      </c>
      <c r="B24" s="39" t="s">
        <v>94</v>
      </c>
      <c r="C24" s="594" t="s">
        <v>95</v>
      </c>
      <c r="D24" s="594"/>
      <c r="E24" s="39">
        <v>31.29</v>
      </c>
      <c r="F24" s="322">
        <v>6500</v>
      </c>
      <c r="G24" s="318">
        <f t="shared" ref="G24:G30" si="23">E24*F24</f>
        <v>203385</v>
      </c>
      <c r="H24" s="48">
        <v>2</v>
      </c>
      <c r="I24" s="320">
        <v>18</v>
      </c>
      <c r="J24" s="43">
        <v>2400</v>
      </c>
      <c r="K24" s="18">
        <f t="shared" si="1"/>
        <v>133.33333333333334</v>
      </c>
      <c r="L24" s="320">
        <v>18</v>
      </c>
      <c r="M24" s="19">
        <f t="shared" ref="M24:M30" si="24">F24/V24*60</f>
        <v>2280.7017543859647</v>
      </c>
      <c r="N24" s="18">
        <f t="shared" si="3"/>
        <v>126.70565302144249</v>
      </c>
      <c r="O24" s="20">
        <f t="shared" si="4"/>
        <v>0</v>
      </c>
      <c r="P24" s="21">
        <f t="shared" si="5"/>
        <v>-6.627680311890856</v>
      </c>
      <c r="Q24" s="317">
        <f t="shared" si="6"/>
        <v>0.95029239766081863</v>
      </c>
      <c r="R24" s="573">
        <f>Q31</f>
        <v>0.95539198872633135</v>
      </c>
      <c r="S24" s="49">
        <v>8.3333333333333329E-2</v>
      </c>
      <c r="T24" s="49">
        <v>0.20208333333333334</v>
      </c>
      <c r="U24" s="318"/>
      <c r="V24" s="321">
        <f t="shared" ref="V24:V30" si="25">(T24-S24)*24*60</f>
        <v>171</v>
      </c>
      <c r="W24" s="25">
        <f>T24</f>
        <v>0.20208333333333334</v>
      </c>
      <c r="X24" s="25">
        <f>S25</f>
        <v>0.22152777777777777</v>
      </c>
      <c r="Y24" s="25"/>
      <c r="Z24" s="25"/>
      <c r="AA24" s="575"/>
      <c r="AB24" s="575"/>
      <c r="AC24" s="50">
        <v>7</v>
      </c>
      <c r="AD24" s="27"/>
      <c r="AE24" s="20">
        <f t="shared" si="8"/>
        <v>-119.2982456140353</v>
      </c>
      <c r="AF24" s="317">
        <f t="shared" si="9"/>
        <v>0.95029239766081863</v>
      </c>
      <c r="AG24" s="573">
        <f>AF31</f>
        <v>0.95539198872633124</v>
      </c>
    </row>
    <row r="25" spans="1:33" ht="15.75" customHeight="1">
      <c r="A25" s="595" t="s">
        <v>56</v>
      </c>
      <c r="B25" s="39" t="s">
        <v>94</v>
      </c>
      <c r="C25" s="594" t="s">
        <v>97</v>
      </c>
      <c r="D25" s="594"/>
      <c r="E25" s="39">
        <v>26.37</v>
      </c>
      <c r="F25" s="322">
        <v>4400</v>
      </c>
      <c r="G25" s="318">
        <f t="shared" si="23"/>
        <v>116028</v>
      </c>
      <c r="H25" s="48">
        <v>2</v>
      </c>
      <c r="I25" s="320">
        <v>18</v>
      </c>
      <c r="J25" s="43">
        <v>2400</v>
      </c>
      <c r="K25" s="18">
        <f t="shared" si="1"/>
        <v>133.33333333333334</v>
      </c>
      <c r="L25" s="320">
        <v>18</v>
      </c>
      <c r="M25" s="19">
        <f t="shared" si="24"/>
        <v>2295.652173913044</v>
      </c>
      <c r="N25" s="18">
        <f t="shared" si="3"/>
        <v>127.536231884058</v>
      </c>
      <c r="O25" s="20">
        <f t="shared" si="4"/>
        <v>0</v>
      </c>
      <c r="P25" s="21">
        <f t="shared" si="5"/>
        <v>-5.7971014492753454</v>
      </c>
      <c r="Q25" s="317">
        <f t="shared" si="6"/>
        <v>0.95652173913043492</v>
      </c>
      <c r="R25" s="573"/>
      <c r="S25" s="49">
        <v>0.22152777777777777</v>
      </c>
      <c r="T25" s="49">
        <v>0.30138888888888887</v>
      </c>
      <c r="U25" s="318">
        <f t="shared" ref="U25:U30" si="26">(S25-T24)*24*60</f>
        <v>27.999999999999979</v>
      </c>
      <c r="V25" s="321">
        <f t="shared" si="25"/>
        <v>114.99999999999999</v>
      </c>
      <c r="W25" s="25"/>
      <c r="X25" s="25"/>
      <c r="Y25" s="25"/>
      <c r="Z25" s="25"/>
      <c r="AA25" s="575"/>
      <c r="AB25" s="575"/>
      <c r="AC25" s="50"/>
      <c r="AD25" s="27"/>
      <c r="AE25" s="20">
        <f t="shared" si="8"/>
        <v>-104.34782608695605</v>
      </c>
      <c r="AF25" s="317">
        <f t="shared" si="9"/>
        <v>0.95652173913043503</v>
      </c>
      <c r="AG25" s="573"/>
    </row>
    <row r="26" spans="1:33" ht="15.75" customHeight="1">
      <c r="A26" s="595" t="s">
        <v>56</v>
      </c>
      <c r="B26" s="39" t="s">
        <v>94</v>
      </c>
      <c r="C26" s="594" t="s">
        <v>529</v>
      </c>
      <c r="D26" s="594"/>
      <c r="E26" s="39">
        <v>26.18</v>
      </c>
      <c r="F26" s="322">
        <v>5000</v>
      </c>
      <c r="G26" s="318">
        <f t="shared" si="23"/>
        <v>130900</v>
      </c>
      <c r="H26" s="48">
        <v>2</v>
      </c>
      <c r="I26" s="320">
        <v>19</v>
      </c>
      <c r="J26" s="43">
        <v>2400</v>
      </c>
      <c r="K26" s="18">
        <f t="shared" si="1"/>
        <v>126.31578947368421</v>
      </c>
      <c r="L26" s="320">
        <v>19</v>
      </c>
      <c r="M26" s="19">
        <f t="shared" si="24"/>
        <v>2290.0763358778627</v>
      </c>
      <c r="N26" s="18">
        <f t="shared" si="3"/>
        <v>120.53033346725593</v>
      </c>
      <c r="O26" s="20">
        <f t="shared" si="4"/>
        <v>0</v>
      </c>
      <c r="P26" s="21">
        <f t="shared" si="5"/>
        <v>-5.7854560064282765</v>
      </c>
      <c r="Q26" s="317">
        <f t="shared" si="6"/>
        <v>0.95419847328244278</v>
      </c>
      <c r="R26" s="573"/>
      <c r="S26" s="49">
        <v>0.30486111111111108</v>
      </c>
      <c r="T26" s="49">
        <v>0.39583333333333331</v>
      </c>
      <c r="U26" s="318">
        <f t="shared" si="26"/>
        <v>4.9999999999999822</v>
      </c>
      <c r="V26" s="321">
        <f t="shared" si="25"/>
        <v>131</v>
      </c>
      <c r="W26" s="25"/>
      <c r="X26" s="25"/>
      <c r="Y26" s="25"/>
      <c r="Z26" s="25"/>
      <c r="AA26" s="575"/>
      <c r="AB26" s="575"/>
      <c r="AC26" s="50"/>
      <c r="AD26" s="27"/>
      <c r="AE26" s="20">
        <f t="shared" si="8"/>
        <v>-109.92366412213732</v>
      </c>
      <c r="AF26" s="317">
        <f t="shared" si="9"/>
        <v>0.95419847328244278</v>
      </c>
      <c r="AG26" s="573"/>
    </row>
    <row r="27" spans="1:33" ht="15.75" customHeight="1">
      <c r="A27" s="595" t="s">
        <v>56</v>
      </c>
      <c r="B27" s="39" t="s">
        <v>94</v>
      </c>
      <c r="C27" s="594" t="s">
        <v>98</v>
      </c>
      <c r="D27" s="594"/>
      <c r="E27" s="39">
        <v>25.99</v>
      </c>
      <c r="F27" s="322">
        <v>4916</v>
      </c>
      <c r="G27" s="318">
        <f t="shared" si="23"/>
        <v>127766.84</v>
      </c>
      <c r="H27" s="48" t="s">
        <v>126</v>
      </c>
      <c r="I27" s="320">
        <v>14</v>
      </c>
      <c r="J27" s="43">
        <v>2400</v>
      </c>
      <c r="K27" s="18">
        <f t="shared" si="1"/>
        <v>171.42857142857142</v>
      </c>
      <c r="L27" s="320">
        <v>14</v>
      </c>
      <c r="M27" s="19">
        <f t="shared" si="24"/>
        <v>2286.5116279069762</v>
      </c>
      <c r="N27" s="18">
        <f t="shared" si="3"/>
        <v>163.32225913621258</v>
      </c>
      <c r="O27" s="20">
        <f t="shared" si="4"/>
        <v>0</v>
      </c>
      <c r="P27" s="21">
        <f t="shared" si="5"/>
        <v>-8.1063122923588367</v>
      </c>
      <c r="Q27" s="317">
        <f t="shared" si="6"/>
        <v>0.95271317829457347</v>
      </c>
      <c r="R27" s="573"/>
      <c r="S27" s="49">
        <v>0.39999999999999997</v>
      </c>
      <c r="T27" s="49">
        <v>0.48958333333333331</v>
      </c>
      <c r="U27" s="318">
        <f t="shared" si="26"/>
        <v>5.9999999999999787</v>
      </c>
      <c r="V27" s="321">
        <f t="shared" si="25"/>
        <v>129.00000000000003</v>
      </c>
      <c r="W27" s="25">
        <f>T27</f>
        <v>0.48958333333333331</v>
      </c>
      <c r="X27" s="25">
        <f>S28</f>
        <v>0.53124999999999989</v>
      </c>
      <c r="Y27" s="25"/>
      <c r="Z27" s="25"/>
      <c r="AA27" s="575"/>
      <c r="AB27" s="575"/>
      <c r="AC27" s="50"/>
      <c r="AD27" s="27"/>
      <c r="AE27" s="20">
        <f t="shared" si="8"/>
        <v>-113.48837209302383</v>
      </c>
      <c r="AF27" s="317">
        <f t="shared" si="9"/>
        <v>0.95271317829457336</v>
      </c>
      <c r="AG27" s="573"/>
    </row>
    <row r="28" spans="1:33" ht="15.75" customHeight="1">
      <c r="A28" s="595" t="s">
        <v>1399</v>
      </c>
      <c r="B28" s="39" t="s">
        <v>94</v>
      </c>
      <c r="C28" s="594" t="s">
        <v>95</v>
      </c>
      <c r="D28" s="594"/>
      <c r="E28" s="39">
        <v>31.29</v>
      </c>
      <c r="F28" s="322">
        <v>4597</v>
      </c>
      <c r="G28" s="318">
        <f t="shared" si="23"/>
        <v>143840.13</v>
      </c>
      <c r="H28" s="48" t="s">
        <v>126</v>
      </c>
      <c r="I28" s="320">
        <v>18</v>
      </c>
      <c r="J28" s="43">
        <v>2400</v>
      </c>
      <c r="K28" s="18">
        <f t="shared" si="1"/>
        <v>133.33333333333334</v>
      </c>
      <c r="L28" s="320">
        <v>18</v>
      </c>
      <c r="M28" s="19">
        <f t="shared" si="24"/>
        <v>2298.4999999999991</v>
      </c>
      <c r="N28" s="18">
        <f t="shared" si="3"/>
        <v>127.6944444444444</v>
      </c>
      <c r="O28" s="20">
        <f t="shared" si="4"/>
        <v>0</v>
      </c>
      <c r="P28" s="21">
        <f t="shared" si="5"/>
        <v>-5.6388888888889426</v>
      </c>
      <c r="Q28" s="317">
        <f t="shared" si="6"/>
        <v>0.95770833333333294</v>
      </c>
      <c r="R28" s="573"/>
      <c r="S28" s="49">
        <v>0.53124999999999989</v>
      </c>
      <c r="T28" s="49">
        <v>0.61458333333333326</v>
      </c>
      <c r="U28" s="318">
        <f t="shared" si="26"/>
        <v>59.999999999999865</v>
      </c>
      <c r="V28" s="321">
        <f t="shared" si="25"/>
        <v>120.00000000000006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-101.50000000000091</v>
      </c>
      <c r="AF28" s="317">
        <f t="shared" si="9"/>
        <v>0.95770833333333294</v>
      </c>
      <c r="AG28" s="573"/>
    </row>
    <row r="29" spans="1:33" ht="15.75" customHeight="1">
      <c r="A29" s="595" t="s">
        <v>56</v>
      </c>
      <c r="B29" s="39" t="s">
        <v>94</v>
      </c>
      <c r="C29" s="594" t="s">
        <v>529</v>
      </c>
      <c r="D29" s="594"/>
      <c r="E29" s="39">
        <v>26.18</v>
      </c>
      <c r="F29" s="322">
        <v>3681</v>
      </c>
      <c r="G29" s="318">
        <f t="shared" si="23"/>
        <v>96368.58</v>
      </c>
      <c r="H29" s="48" t="s">
        <v>126</v>
      </c>
      <c r="I29" s="320">
        <v>19</v>
      </c>
      <c r="J29" s="43">
        <v>2400</v>
      </c>
      <c r="K29" s="18">
        <f t="shared" si="1"/>
        <v>126.31578947368421</v>
      </c>
      <c r="L29" s="320">
        <v>19</v>
      </c>
      <c r="M29" s="19">
        <f t="shared" si="24"/>
        <v>2300.6250000000009</v>
      </c>
      <c r="N29" s="18">
        <f t="shared" si="3"/>
        <v>121.08552631578952</v>
      </c>
      <c r="O29" s="20">
        <f t="shared" si="4"/>
        <v>0</v>
      </c>
      <c r="P29" s="21">
        <f t="shared" si="5"/>
        <v>-5.230263157894683</v>
      </c>
      <c r="Q29" s="317">
        <f t="shared" si="6"/>
        <v>0.95859375000000047</v>
      </c>
      <c r="R29" s="573"/>
      <c r="S29" s="49">
        <v>0.61805555555555547</v>
      </c>
      <c r="T29" s="49">
        <v>0.68472222222222212</v>
      </c>
      <c r="U29" s="318">
        <f t="shared" si="26"/>
        <v>4.9999999999999822</v>
      </c>
      <c r="V29" s="321">
        <f t="shared" si="25"/>
        <v>95.999999999999972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-99.374999999999091</v>
      </c>
      <c r="AF29" s="317">
        <f t="shared" si="9"/>
        <v>0.95859375000000036</v>
      </c>
      <c r="AG29" s="573"/>
    </row>
    <row r="30" spans="1:33" ht="15.75" customHeight="1">
      <c r="A30" s="595" t="s">
        <v>56</v>
      </c>
      <c r="B30" s="39" t="s">
        <v>94</v>
      </c>
      <c r="C30" s="594" t="s">
        <v>97</v>
      </c>
      <c r="D30" s="594"/>
      <c r="E30" s="39">
        <v>26.37</v>
      </c>
      <c r="F30" s="322">
        <v>3103</v>
      </c>
      <c r="G30" s="318">
        <f t="shared" si="23"/>
        <v>81826.11</v>
      </c>
      <c r="H30" s="48" t="s">
        <v>126</v>
      </c>
      <c r="I30" s="320">
        <v>18</v>
      </c>
      <c r="J30" s="43">
        <v>2400</v>
      </c>
      <c r="K30" s="18">
        <f t="shared" si="1"/>
        <v>133.33333333333334</v>
      </c>
      <c r="L30" s="320">
        <v>18</v>
      </c>
      <c r="M30" s="19">
        <f t="shared" si="24"/>
        <v>2298.5185185185178</v>
      </c>
      <c r="N30" s="18">
        <f t="shared" si="3"/>
        <v>127.69547325102877</v>
      </c>
      <c r="O30" s="20">
        <f t="shared" si="4"/>
        <v>0</v>
      </c>
      <c r="P30" s="21">
        <f t="shared" si="5"/>
        <v>-5.6378600823045701</v>
      </c>
      <c r="Q30" s="317">
        <f t="shared" si="6"/>
        <v>0.95771604938271571</v>
      </c>
      <c r="R30" s="573"/>
      <c r="S30" s="49">
        <v>0.68958333333333321</v>
      </c>
      <c r="T30" s="49">
        <v>0.74583333333333324</v>
      </c>
      <c r="U30" s="318">
        <f t="shared" si="26"/>
        <v>6.9999999999999751</v>
      </c>
      <c r="V30" s="321">
        <f t="shared" si="25"/>
        <v>81.000000000000028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-101.48148148148221</v>
      </c>
      <c r="AF30" s="317">
        <f t="shared" si="9"/>
        <v>0.95771604938271571</v>
      </c>
      <c r="AG30" s="573"/>
    </row>
    <row r="31" spans="1:33" ht="15.75" customHeight="1">
      <c r="A31" s="595" t="s">
        <v>56</v>
      </c>
      <c r="B31" s="39" t="s">
        <v>46</v>
      </c>
      <c r="C31" s="576"/>
      <c r="D31" s="576"/>
      <c r="E31" s="319"/>
      <c r="F31" s="322"/>
      <c r="G31" s="318"/>
      <c r="H31" s="322"/>
      <c r="I31" s="32">
        <v>17.714285714285715</v>
      </c>
      <c r="J31" s="43">
        <v>2400</v>
      </c>
      <c r="K31" s="18">
        <f t="shared" si="1"/>
        <v>135.48387096774192</v>
      </c>
      <c r="L31" s="32">
        <v>17.714285714285715</v>
      </c>
      <c r="M31" s="19">
        <f>AVERAGE(M24:M30)</f>
        <v>2292.940772943195</v>
      </c>
      <c r="N31" s="18">
        <f t="shared" si="3"/>
        <v>129.44020492421262</v>
      </c>
      <c r="O31" s="20">
        <f t="shared" si="4"/>
        <v>0</v>
      </c>
      <c r="P31" s="21">
        <f t="shared" si="5"/>
        <v>-6.0436660435292993</v>
      </c>
      <c r="Q31" s="317">
        <f t="shared" si="6"/>
        <v>0.95539198872633135</v>
      </c>
      <c r="R31" s="573"/>
      <c r="S31" s="49"/>
      <c r="T31" s="49"/>
      <c r="U31" s="318"/>
      <c r="V31" s="321"/>
      <c r="W31" s="318"/>
      <c r="X31" s="318"/>
      <c r="Y31" s="33">
        <f>SUM(Y24:Y30)</f>
        <v>0</v>
      </c>
      <c r="Z31" s="33">
        <f>SUM(Z24:Z30)</f>
        <v>0</v>
      </c>
      <c r="AA31" s="572"/>
      <c r="AB31" s="572"/>
      <c r="AC31" s="33">
        <v>7</v>
      </c>
      <c r="AD31" s="33">
        <f>SUM(AD24:AD30)</f>
        <v>0</v>
      </c>
      <c r="AE31" s="20">
        <f t="shared" si="8"/>
        <v>-107.05922705680496</v>
      </c>
      <c r="AF31" s="317">
        <f t="shared" si="9"/>
        <v>0.95539198872633124</v>
      </c>
      <c r="AG31" s="573"/>
    </row>
    <row r="32" spans="1:33" ht="15.75" customHeight="1">
      <c r="A32" s="592" t="s">
        <v>58</v>
      </c>
      <c r="B32" s="39" t="s">
        <v>94</v>
      </c>
      <c r="C32" s="574" t="s">
        <v>530</v>
      </c>
      <c r="D32" s="574"/>
      <c r="E32" s="39">
        <v>26.18</v>
      </c>
      <c r="F32" s="322">
        <v>4300</v>
      </c>
      <c r="G32" s="318">
        <f t="shared" ref="G32:G39" si="27">E32*F32</f>
        <v>112574</v>
      </c>
      <c r="H32" s="48">
        <v>2</v>
      </c>
      <c r="I32" s="320">
        <v>21</v>
      </c>
      <c r="J32" s="43">
        <v>2400</v>
      </c>
      <c r="K32" s="18">
        <f t="shared" si="1"/>
        <v>114.28571428571429</v>
      </c>
      <c r="L32" s="320">
        <v>21</v>
      </c>
      <c r="M32" s="19">
        <f t="shared" ref="M32:M39" si="28">F32/V32*60</f>
        <v>2283.1858407079653</v>
      </c>
      <c r="N32" s="18">
        <f t="shared" si="3"/>
        <v>108.72313527180788</v>
      </c>
      <c r="O32" s="20">
        <f t="shared" si="4"/>
        <v>0</v>
      </c>
      <c r="P32" s="21">
        <f t="shared" si="5"/>
        <v>-5.5625790139064151</v>
      </c>
      <c r="Q32" s="317">
        <f t="shared" si="6"/>
        <v>0.95132743362831884</v>
      </c>
      <c r="R32" s="573">
        <f>Q40</f>
        <v>0.95465998748992908</v>
      </c>
      <c r="S32" s="49">
        <v>8.3333333333333329E-2</v>
      </c>
      <c r="T32" s="49">
        <v>0.16180555555555554</v>
      </c>
      <c r="U32" s="318"/>
      <c r="V32" s="321">
        <f t="shared" ref="V32:V39" si="29">(T32-S32)*24*60</f>
        <v>112.99999999999997</v>
      </c>
      <c r="W32" s="30">
        <f>T32</f>
        <v>0.16180555555555554</v>
      </c>
      <c r="X32" s="30">
        <f>S33</f>
        <v>0.17986111111111108</v>
      </c>
      <c r="Y32" s="30"/>
      <c r="Z32" s="30"/>
      <c r="AA32" s="575"/>
      <c r="AB32" s="575"/>
      <c r="AC32" s="50">
        <v>8</v>
      </c>
      <c r="AD32" s="27"/>
      <c r="AE32" s="20">
        <f t="shared" si="8"/>
        <v>-116.81415929203467</v>
      </c>
      <c r="AF32" s="317">
        <f t="shared" si="9"/>
        <v>0.95132743362831884</v>
      </c>
      <c r="AG32" s="573">
        <f>AF40</f>
        <v>0.95465998748992908</v>
      </c>
    </row>
    <row r="33" spans="1:33" ht="15.75" customHeight="1">
      <c r="A33" s="592" t="s">
        <v>1407</v>
      </c>
      <c r="B33" s="39" t="s">
        <v>94</v>
      </c>
      <c r="C33" s="574" t="s">
        <v>100</v>
      </c>
      <c r="D33" s="574"/>
      <c r="E33" s="39">
        <v>24.43</v>
      </c>
      <c r="F33" s="322">
        <v>4300</v>
      </c>
      <c r="G33" s="318">
        <f t="shared" si="27"/>
        <v>105049</v>
      </c>
      <c r="H33" s="48">
        <v>2</v>
      </c>
      <c r="I33" s="320">
        <v>14</v>
      </c>
      <c r="J33" s="43">
        <v>2400</v>
      </c>
      <c r="K33" s="18">
        <f t="shared" si="1"/>
        <v>171.42857142857142</v>
      </c>
      <c r="L33" s="320">
        <v>14</v>
      </c>
      <c r="M33" s="19">
        <f t="shared" si="28"/>
        <v>2283.1858407079644</v>
      </c>
      <c r="N33" s="18">
        <f t="shared" si="3"/>
        <v>163.08470290771174</v>
      </c>
      <c r="O33" s="20">
        <f t="shared" si="4"/>
        <v>0</v>
      </c>
      <c r="P33" s="21">
        <f t="shared" si="5"/>
        <v>-8.3438685208596723</v>
      </c>
      <c r="Q33" s="317">
        <f t="shared" si="6"/>
        <v>0.95132743362831862</v>
      </c>
      <c r="R33" s="573"/>
      <c r="S33" s="49">
        <v>0.17986111111111108</v>
      </c>
      <c r="T33" s="49">
        <v>0.2583333333333333</v>
      </c>
      <c r="U33" s="318">
        <f t="shared" ref="U33:U39" si="30">(S33-T32)*24*60</f>
        <v>25.999999999999986</v>
      </c>
      <c r="V33" s="321">
        <f t="shared" si="29"/>
        <v>113</v>
      </c>
      <c r="W33" s="318"/>
      <c r="X33" s="318"/>
      <c r="Y33" s="318"/>
      <c r="Z33" s="318"/>
      <c r="AA33" s="575"/>
      <c r="AB33" s="575"/>
      <c r="AC33" s="50"/>
      <c r="AD33" s="27"/>
      <c r="AE33" s="20">
        <f t="shared" si="8"/>
        <v>-116.81415929203558</v>
      </c>
      <c r="AF33" s="317">
        <f t="shared" si="9"/>
        <v>0.95132743362831851</v>
      </c>
      <c r="AG33" s="573"/>
    </row>
    <row r="34" spans="1:33">
      <c r="A34" s="593" t="s">
        <v>1407</v>
      </c>
      <c r="B34" s="39" t="s">
        <v>94</v>
      </c>
      <c r="C34" s="574" t="s">
        <v>102</v>
      </c>
      <c r="D34" s="574"/>
      <c r="E34" s="39">
        <v>34.1</v>
      </c>
      <c r="F34" s="322">
        <v>4400</v>
      </c>
      <c r="G34" s="318">
        <f t="shared" si="27"/>
        <v>150040</v>
      </c>
      <c r="H34" s="48">
        <v>2</v>
      </c>
      <c r="I34" s="320">
        <v>17</v>
      </c>
      <c r="J34" s="43">
        <v>1600</v>
      </c>
      <c r="K34" s="18">
        <f t="shared" si="1"/>
        <v>94.117647058823536</v>
      </c>
      <c r="L34" s="320">
        <v>17</v>
      </c>
      <c r="M34" s="19">
        <f t="shared" si="28"/>
        <v>1526.0115606936415</v>
      </c>
      <c r="N34" s="18">
        <f t="shared" si="3"/>
        <v>89.765385923155378</v>
      </c>
      <c r="O34" s="20">
        <f t="shared" si="4"/>
        <v>0</v>
      </c>
      <c r="P34" s="21">
        <f t="shared" si="5"/>
        <v>-4.352261135668158</v>
      </c>
      <c r="Q34" s="317">
        <f t="shared" si="6"/>
        <v>0.95375722543352581</v>
      </c>
      <c r="R34" s="573"/>
      <c r="S34" s="49">
        <v>0.26249999999999996</v>
      </c>
      <c r="T34" s="49">
        <v>0.38263888888888886</v>
      </c>
      <c r="U34" s="318">
        <f t="shared" si="30"/>
        <v>5.9999999999999787</v>
      </c>
      <c r="V34" s="321">
        <f t="shared" si="29"/>
        <v>173.00000000000003</v>
      </c>
      <c r="W34" s="318"/>
      <c r="X34" s="318"/>
      <c r="Y34" s="318"/>
      <c r="Z34" s="318"/>
      <c r="AA34" s="575"/>
      <c r="AB34" s="575"/>
      <c r="AC34" s="50"/>
      <c r="AD34" s="27"/>
      <c r="AE34" s="20">
        <f t="shared" si="8"/>
        <v>-73.988439306358487</v>
      </c>
      <c r="AF34" s="317">
        <f t="shared" si="9"/>
        <v>0.95375722543352592</v>
      </c>
      <c r="AG34" s="573"/>
    </row>
    <row r="35" spans="1:33">
      <c r="A35" s="593" t="s">
        <v>1407</v>
      </c>
      <c r="B35" s="39" t="s">
        <v>94</v>
      </c>
      <c r="C35" s="574" t="s">
        <v>101</v>
      </c>
      <c r="D35" s="574"/>
      <c r="E35" s="39">
        <v>25.98</v>
      </c>
      <c r="F35" s="322">
        <v>3569</v>
      </c>
      <c r="G35" s="318">
        <f t="shared" si="27"/>
        <v>92722.62</v>
      </c>
      <c r="H35" s="48" t="s">
        <v>126</v>
      </c>
      <c r="I35" s="320">
        <v>19</v>
      </c>
      <c r="J35" s="43">
        <v>2400</v>
      </c>
      <c r="K35" s="18">
        <f t="shared" si="1"/>
        <v>126.31578947368421</v>
      </c>
      <c r="L35" s="320">
        <v>19</v>
      </c>
      <c r="M35" s="19">
        <f t="shared" si="28"/>
        <v>2302.5806451612907</v>
      </c>
      <c r="N35" s="18">
        <f t="shared" si="3"/>
        <v>121.18845500848899</v>
      </c>
      <c r="O35" s="20">
        <f t="shared" si="4"/>
        <v>0</v>
      </c>
      <c r="P35" s="21">
        <f t="shared" si="5"/>
        <v>-5.1273344651952186</v>
      </c>
      <c r="Q35" s="317">
        <f t="shared" si="6"/>
        <v>0.9594086021505378</v>
      </c>
      <c r="R35" s="573"/>
      <c r="S35" s="49">
        <v>0.3881944444444444</v>
      </c>
      <c r="T35" s="49">
        <v>0.45277777777777772</v>
      </c>
      <c r="U35" s="318">
        <f t="shared" si="30"/>
        <v>7.9999999999999716</v>
      </c>
      <c r="V35" s="321">
        <f t="shared" si="29"/>
        <v>92.999999999999986</v>
      </c>
      <c r="W35" s="25"/>
      <c r="X35" s="25"/>
      <c r="Y35" s="25"/>
      <c r="Z35" s="25"/>
      <c r="AA35" s="575"/>
      <c r="AB35" s="575"/>
      <c r="AC35" s="50"/>
      <c r="AD35" s="27"/>
      <c r="AE35" s="20">
        <f t="shared" si="8"/>
        <v>-97.419354838709296</v>
      </c>
      <c r="AF35" s="317">
        <f t="shared" si="9"/>
        <v>0.9594086021505378</v>
      </c>
      <c r="AG35" s="573"/>
    </row>
    <row r="36" spans="1:33">
      <c r="A36" s="593" t="s">
        <v>1407</v>
      </c>
      <c r="B36" s="39" t="s">
        <v>94</v>
      </c>
      <c r="C36" s="574" t="s">
        <v>103</v>
      </c>
      <c r="D36" s="574"/>
      <c r="E36" s="39">
        <v>20.2</v>
      </c>
      <c r="F36" s="322">
        <v>2765</v>
      </c>
      <c r="G36" s="318">
        <f t="shared" si="27"/>
        <v>55853</v>
      </c>
      <c r="H36" s="48" t="s">
        <v>126</v>
      </c>
      <c r="I36" s="320">
        <v>15</v>
      </c>
      <c r="J36" s="43">
        <v>2400</v>
      </c>
      <c r="K36" s="18">
        <f t="shared" si="1"/>
        <v>160</v>
      </c>
      <c r="L36" s="320">
        <v>15</v>
      </c>
      <c r="M36" s="19">
        <f t="shared" si="28"/>
        <v>2304.1666666666652</v>
      </c>
      <c r="N36" s="18">
        <f t="shared" si="3"/>
        <v>153.611111111111</v>
      </c>
      <c r="O36" s="20">
        <f t="shared" si="4"/>
        <v>0</v>
      </c>
      <c r="P36" s="21">
        <f t="shared" si="5"/>
        <v>-6.3888888888889994</v>
      </c>
      <c r="Q36" s="317">
        <f t="shared" si="6"/>
        <v>0.96006944444444375</v>
      </c>
      <c r="R36" s="573"/>
      <c r="S36" s="49">
        <v>0.45624999999999993</v>
      </c>
      <c r="T36" s="49">
        <v>0.50624999999999998</v>
      </c>
      <c r="U36" s="318">
        <f t="shared" si="30"/>
        <v>4.9999999999999822</v>
      </c>
      <c r="V36" s="321">
        <f t="shared" si="29"/>
        <v>72.000000000000057</v>
      </c>
      <c r="W36" s="25">
        <f>T36</f>
        <v>0.50624999999999998</v>
      </c>
      <c r="X36" s="25">
        <f>S37</f>
        <v>0.54583333333333328</v>
      </c>
      <c r="Y36" s="25"/>
      <c r="Z36" s="25"/>
      <c r="AA36" s="575"/>
      <c r="AB36" s="575"/>
      <c r="AC36" s="50"/>
      <c r="AD36" s="27"/>
      <c r="AE36" s="20">
        <f t="shared" si="8"/>
        <v>-95.833333333334849</v>
      </c>
      <c r="AF36" s="317">
        <f t="shared" si="9"/>
        <v>0.96006944444444386</v>
      </c>
      <c r="AG36" s="573"/>
    </row>
    <row r="37" spans="1:33">
      <c r="A37" s="593" t="s">
        <v>1892</v>
      </c>
      <c r="B37" s="39" t="s">
        <v>94</v>
      </c>
      <c r="C37" s="574" t="s">
        <v>102</v>
      </c>
      <c r="D37" s="574"/>
      <c r="E37" s="39">
        <v>34.1</v>
      </c>
      <c r="F37" s="322">
        <v>3437</v>
      </c>
      <c r="G37" s="318">
        <f t="shared" si="27"/>
        <v>117201.70000000001</v>
      </c>
      <c r="H37" s="48" t="s">
        <v>126</v>
      </c>
      <c r="I37" s="320">
        <v>17</v>
      </c>
      <c r="J37" s="43">
        <v>1600</v>
      </c>
      <c r="K37" s="18">
        <f t="shared" si="1"/>
        <v>94.117647058823536</v>
      </c>
      <c r="L37" s="320">
        <v>17</v>
      </c>
      <c r="M37" s="19">
        <f t="shared" si="28"/>
        <v>1527.5555555555554</v>
      </c>
      <c r="N37" s="18">
        <f t="shared" si="3"/>
        <v>89.856209150326791</v>
      </c>
      <c r="O37" s="20">
        <f t="shared" si="4"/>
        <v>0</v>
      </c>
      <c r="P37" s="21">
        <f t="shared" si="5"/>
        <v>-4.2614379084967453</v>
      </c>
      <c r="Q37" s="317">
        <f t="shared" si="6"/>
        <v>0.95472222222222214</v>
      </c>
      <c r="R37" s="573"/>
      <c r="S37" s="49">
        <v>0.54583333333333328</v>
      </c>
      <c r="T37" s="49">
        <v>0.63958333333333328</v>
      </c>
      <c r="U37" s="318">
        <f t="shared" si="30"/>
        <v>56.999999999999957</v>
      </c>
      <c r="V37" s="321">
        <f t="shared" si="29"/>
        <v>135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8"/>
        <v>-72.444444444444571</v>
      </c>
      <c r="AF37" s="317">
        <f t="shared" si="9"/>
        <v>0.95472222222222214</v>
      </c>
      <c r="AG37" s="573"/>
    </row>
    <row r="38" spans="1:33">
      <c r="A38" s="593" t="s">
        <v>58</v>
      </c>
      <c r="B38" s="39" t="s">
        <v>94</v>
      </c>
      <c r="C38" s="574" t="s">
        <v>530</v>
      </c>
      <c r="D38" s="574"/>
      <c r="E38" s="39">
        <v>26.18</v>
      </c>
      <c r="F38" s="322">
        <v>3207</v>
      </c>
      <c r="G38" s="318">
        <f t="shared" si="27"/>
        <v>83959.26</v>
      </c>
      <c r="H38" s="48" t="s">
        <v>126</v>
      </c>
      <c r="I38" s="320">
        <v>21</v>
      </c>
      <c r="J38" s="43">
        <v>2400</v>
      </c>
      <c r="K38" s="18">
        <f t="shared" si="1"/>
        <v>114.28571428571429</v>
      </c>
      <c r="L38" s="320">
        <v>21</v>
      </c>
      <c r="M38" s="19">
        <f t="shared" si="28"/>
        <v>2290.7142857142849</v>
      </c>
      <c r="N38" s="18">
        <f t="shared" si="3"/>
        <v>109.08163265306118</v>
      </c>
      <c r="O38" s="20">
        <f t="shared" si="4"/>
        <v>0</v>
      </c>
      <c r="P38" s="21">
        <f t="shared" si="5"/>
        <v>-5.2040816326531143</v>
      </c>
      <c r="Q38" s="317">
        <f t="shared" si="6"/>
        <v>0.95446428571428521</v>
      </c>
      <c r="R38" s="573"/>
      <c r="S38" s="49">
        <v>0.64374999999999993</v>
      </c>
      <c r="T38" s="49">
        <v>0.70208333333333328</v>
      </c>
      <c r="U38" s="318">
        <f t="shared" si="30"/>
        <v>5.9999999999999787</v>
      </c>
      <c r="V38" s="321">
        <f t="shared" si="29"/>
        <v>84.000000000000028</v>
      </c>
      <c r="W38" s="25"/>
      <c r="X38" s="25"/>
      <c r="Y38" s="28"/>
      <c r="Z38" s="28"/>
      <c r="AA38" s="568"/>
      <c r="AB38" s="569"/>
      <c r="AC38" s="50"/>
      <c r="AD38" s="27"/>
      <c r="AE38" s="20">
        <f t="shared" si="8"/>
        <v>-109.28571428571513</v>
      </c>
      <c r="AF38" s="317">
        <f t="shared" si="9"/>
        <v>0.95446428571428532</v>
      </c>
      <c r="AG38" s="573"/>
    </row>
    <row r="39" spans="1:33">
      <c r="A39" s="593" t="s">
        <v>58</v>
      </c>
      <c r="B39" s="39" t="s">
        <v>94</v>
      </c>
      <c r="C39" s="574" t="s">
        <v>100</v>
      </c>
      <c r="D39" s="574"/>
      <c r="E39" s="39">
        <v>24.43</v>
      </c>
      <c r="F39" s="322">
        <v>3465</v>
      </c>
      <c r="G39" s="318">
        <f t="shared" si="27"/>
        <v>84649.95</v>
      </c>
      <c r="H39" s="48" t="s">
        <v>126</v>
      </c>
      <c r="I39" s="320">
        <v>14</v>
      </c>
      <c r="J39" s="43">
        <v>2400</v>
      </c>
      <c r="K39" s="18">
        <f t="shared" si="1"/>
        <v>171.42857142857142</v>
      </c>
      <c r="L39" s="320">
        <v>14</v>
      </c>
      <c r="M39" s="19">
        <f t="shared" si="28"/>
        <v>2284.6153846153848</v>
      </c>
      <c r="N39" s="18">
        <f t="shared" si="3"/>
        <v>163.1868131868132</v>
      </c>
      <c r="O39" s="20">
        <f t="shared" si="4"/>
        <v>0</v>
      </c>
      <c r="P39" s="21">
        <f t="shared" si="5"/>
        <v>-8.2417582417582196</v>
      </c>
      <c r="Q39" s="317">
        <f t="shared" si="6"/>
        <v>0.95192307692307709</v>
      </c>
      <c r="R39" s="573"/>
      <c r="S39" s="49">
        <v>0.70694444444444438</v>
      </c>
      <c r="T39" s="49">
        <v>0.77013888888888882</v>
      </c>
      <c r="U39" s="318">
        <f t="shared" si="30"/>
        <v>6.9999999999999751</v>
      </c>
      <c r="V39" s="321">
        <f t="shared" si="29"/>
        <v>91</v>
      </c>
      <c r="W39" s="25"/>
      <c r="X39" s="25"/>
      <c r="Y39" s="28"/>
      <c r="Z39" s="28"/>
      <c r="AA39" s="568"/>
      <c r="AB39" s="569"/>
      <c r="AC39" s="50"/>
      <c r="AD39" s="27"/>
      <c r="AE39" s="20">
        <f t="shared" si="8"/>
        <v>-115.38461538461524</v>
      </c>
      <c r="AF39" s="317">
        <f t="shared" si="9"/>
        <v>0.95192307692307698</v>
      </c>
      <c r="AG39" s="573"/>
    </row>
    <row r="40" spans="1:33">
      <c r="A40" s="593" t="s">
        <v>1893</v>
      </c>
      <c r="B40" s="42" t="s">
        <v>46</v>
      </c>
      <c r="C40" s="576"/>
      <c r="D40" s="576"/>
      <c r="E40" s="319"/>
      <c r="F40" s="42"/>
      <c r="G40" s="18"/>
      <c r="H40" s="322"/>
      <c r="I40" s="32">
        <v>17.25</v>
      </c>
      <c r="J40" s="43">
        <v>2200</v>
      </c>
      <c r="K40" s="18">
        <f t="shared" si="1"/>
        <v>127.53623188405797</v>
      </c>
      <c r="L40" s="32">
        <v>17.25</v>
      </c>
      <c r="M40" s="19">
        <f>AVERAGE(M32:M39)</f>
        <v>2100.251972477844</v>
      </c>
      <c r="N40" s="18">
        <f t="shared" si="3"/>
        <v>121.75373753494748</v>
      </c>
      <c r="O40" s="20">
        <f t="shared" si="4"/>
        <v>0</v>
      </c>
      <c r="P40" s="21">
        <f t="shared" si="5"/>
        <v>-5.7824943491104932</v>
      </c>
      <c r="Q40" s="317">
        <f t="shared" si="6"/>
        <v>0.95465998748992908</v>
      </c>
      <c r="R40" s="573"/>
      <c r="S40" s="49"/>
      <c r="T40" s="49"/>
      <c r="U40" s="18"/>
      <c r="V40" s="321"/>
      <c r="W40" s="18"/>
      <c r="X40" s="18"/>
      <c r="Y40" s="33">
        <f>SUM(Y32:Y39)</f>
        <v>0</v>
      </c>
      <c r="Z40" s="33">
        <f>SUM(Z32:Z39)</f>
        <v>0</v>
      </c>
      <c r="AA40" s="572"/>
      <c r="AB40" s="572"/>
      <c r="AC40" s="33">
        <v>8</v>
      </c>
      <c r="AD40" s="33">
        <f>SUM(AD32:AD39)</f>
        <v>0</v>
      </c>
      <c r="AE40" s="20">
        <f t="shared" si="8"/>
        <v>-99.748027522156008</v>
      </c>
      <c r="AF40" s="317">
        <f t="shared" si="9"/>
        <v>0.95465998748992908</v>
      </c>
      <c r="AG40" s="573"/>
    </row>
    <row r="41" spans="1:33" ht="15.75" customHeight="1">
      <c r="A41" s="589" t="s">
        <v>1894</v>
      </c>
      <c r="B41" s="39" t="s">
        <v>104</v>
      </c>
      <c r="C41" s="566" t="s">
        <v>105</v>
      </c>
      <c r="D41" s="567"/>
      <c r="E41" s="39">
        <v>37.880000000000003</v>
      </c>
      <c r="F41" s="322">
        <v>2256</v>
      </c>
      <c r="G41" s="318">
        <f t="shared" ref="G41:G44" si="31">E41*F41</f>
        <v>85457.279999999999</v>
      </c>
      <c r="H41" s="48" t="s">
        <v>126</v>
      </c>
      <c r="I41" s="320">
        <v>13</v>
      </c>
      <c r="J41" s="43">
        <v>2000</v>
      </c>
      <c r="K41" s="18">
        <f t="shared" si="1"/>
        <v>153.84615384615384</v>
      </c>
      <c r="L41" s="320">
        <v>13</v>
      </c>
      <c r="M41" s="19">
        <f t="shared" ref="M41:M44" si="32">F41/V41*60</f>
        <v>1906.4788732394363</v>
      </c>
      <c r="N41" s="19">
        <f t="shared" si="3"/>
        <v>146.65222101841817</v>
      </c>
      <c r="O41" s="20">
        <f t="shared" si="4"/>
        <v>0</v>
      </c>
      <c r="P41" s="21">
        <f t="shared" si="5"/>
        <v>-7.1939328277356651</v>
      </c>
      <c r="Q41" s="317">
        <f t="shared" si="6"/>
        <v>0.95323943661971822</v>
      </c>
      <c r="R41" s="584">
        <f>Q45</f>
        <v>0.95605659565174561</v>
      </c>
      <c r="S41" s="49">
        <v>8.3333333333333329E-2</v>
      </c>
      <c r="T41" s="49">
        <v>0.13263888888888889</v>
      </c>
      <c r="U41" s="30"/>
      <c r="V41" s="321">
        <f t="shared" ref="V41:V44" si="33">(T41-S41)*24*60</f>
        <v>71.000000000000014</v>
      </c>
      <c r="W41" s="25">
        <f>T41</f>
        <v>0.13263888888888889</v>
      </c>
      <c r="X41" s="25">
        <f>S42</f>
        <v>0.15208333333333335</v>
      </c>
      <c r="Y41" s="28"/>
      <c r="Z41" s="28"/>
      <c r="AA41" s="568"/>
      <c r="AB41" s="569"/>
      <c r="AC41" s="50">
        <v>4</v>
      </c>
      <c r="AD41" s="27"/>
      <c r="AE41" s="20">
        <f t="shared" si="8"/>
        <v>-93.521126760563675</v>
      </c>
      <c r="AF41" s="317">
        <f t="shared" si="9"/>
        <v>0.95323943661971822</v>
      </c>
      <c r="AG41" s="584">
        <f>AF45</f>
        <v>0.95605659565174561</v>
      </c>
    </row>
    <row r="42" spans="1:33" ht="15.75" customHeight="1">
      <c r="A42" s="590" t="s">
        <v>61</v>
      </c>
      <c r="B42" s="39" t="s">
        <v>104</v>
      </c>
      <c r="C42" s="566" t="s">
        <v>106</v>
      </c>
      <c r="D42" s="567"/>
      <c r="E42" s="39">
        <v>35.119999999999997</v>
      </c>
      <c r="F42" s="322">
        <v>6226</v>
      </c>
      <c r="G42" s="318">
        <f t="shared" si="31"/>
        <v>218657.12</v>
      </c>
      <c r="H42" s="48" t="s">
        <v>126</v>
      </c>
      <c r="I42" s="320">
        <v>10</v>
      </c>
      <c r="J42" s="43">
        <v>3000</v>
      </c>
      <c r="K42" s="18">
        <f t="shared" si="1"/>
        <v>300</v>
      </c>
      <c r="L42" s="320">
        <v>10</v>
      </c>
      <c r="M42" s="19">
        <f t="shared" si="32"/>
        <v>2873.538461538461</v>
      </c>
      <c r="N42" s="19">
        <f t="shared" si="3"/>
        <v>287.35384615384612</v>
      </c>
      <c r="O42" s="20">
        <f t="shared" si="4"/>
        <v>0</v>
      </c>
      <c r="P42" s="21">
        <f t="shared" si="5"/>
        <v>-12.646153846153879</v>
      </c>
      <c r="Q42" s="317">
        <f t="shared" si="6"/>
        <v>0.95784615384615368</v>
      </c>
      <c r="R42" s="585"/>
      <c r="S42" s="49">
        <v>0.15208333333333335</v>
      </c>
      <c r="T42" s="49">
        <v>0.24236111111111114</v>
      </c>
      <c r="U42" s="318">
        <f t="shared" ref="U42:U44" si="34">(S42-T41)*24*60</f>
        <v>28.000000000000021</v>
      </c>
      <c r="V42" s="321">
        <f t="shared" si="33"/>
        <v>130.00000000000003</v>
      </c>
      <c r="W42" s="25"/>
      <c r="X42" s="25"/>
      <c r="Y42" s="28"/>
      <c r="Z42" s="28"/>
      <c r="AA42" s="568"/>
      <c r="AB42" s="569"/>
      <c r="AC42" s="50"/>
      <c r="AD42" s="27"/>
      <c r="AE42" s="20">
        <f t="shared" si="8"/>
        <v>-126.46153846153902</v>
      </c>
      <c r="AF42" s="317">
        <f t="shared" si="9"/>
        <v>0.95784615384615368</v>
      </c>
      <c r="AG42" s="585"/>
    </row>
    <row r="43" spans="1:33" ht="15.75" customHeight="1">
      <c r="A43" s="590" t="s">
        <v>61</v>
      </c>
      <c r="B43" s="39" t="s">
        <v>104</v>
      </c>
      <c r="C43" s="566" t="s">
        <v>107</v>
      </c>
      <c r="D43" s="567"/>
      <c r="E43" s="39">
        <v>21.13</v>
      </c>
      <c r="F43" s="322">
        <v>5973</v>
      </c>
      <c r="G43" s="318">
        <f t="shared" si="31"/>
        <v>126209.48999999999</v>
      </c>
      <c r="H43" s="48" t="s">
        <v>126</v>
      </c>
      <c r="I43" s="320">
        <v>10</v>
      </c>
      <c r="J43" s="43">
        <v>3000</v>
      </c>
      <c r="K43" s="18">
        <f t="shared" si="1"/>
        <v>300</v>
      </c>
      <c r="L43" s="320">
        <v>10</v>
      </c>
      <c r="M43" s="19">
        <f t="shared" si="32"/>
        <v>2867.0400000000004</v>
      </c>
      <c r="N43" s="19">
        <f t="shared" si="3"/>
        <v>286.70400000000006</v>
      </c>
      <c r="O43" s="20">
        <f t="shared" si="4"/>
        <v>0</v>
      </c>
      <c r="P43" s="21">
        <f t="shared" si="5"/>
        <v>-13.295999999999935</v>
      </c>
      <c r="Q43" s="317">
        <f t="shared" si="6"/>
        <v>0.9556800000000002</v>
      </c>
      <c r="R43" s="585"/>
      <c r="S43" s="49">
        <v>0.24722222222222226</v>
      </c>
      <c r="T43" s="49">
        <v>0.33402777777777781</v>
      </c>
      <c r="U43" s="318">
        <f t="shared" si="34"/>
        <v>7.0000000000000151</v>
      </c>
      <c r="V43" s="321">
        <f t="shared" si="33"/>
        <v>124.99999999999999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-132.95999999999958</v>
      </c>
      <c r="AF43" s="317">
        <f t="shared" si="9"/>
        <v>0.95568000000000008</v>
      </c>
      <c r="AG43" s="585"/>
    </row>
    <row r="44" spans="1:33" ht="15.75" customHeight="1">
      <c r="A44" s="590" t="s">
        <v>1895</v>
      </c>
      <c r="B44" s="39" t="s">
        <v>104</v>
      </c>
      <c r="C44" s="566" t="s">
        <v>108</v>
      </c>
      <c r="D44" s="567"/>
      <c r="E44" s="39">
        <v>27.17</v>
      </c>
      <c r="F44" s="322">
        <v>7700</v>
      </c>
      <c r="G44" s="318">
        <f t="shared" si="31"/>
        <v>209209</v>
      </c>
      <c r="H44" s="48" t="s">
        <v>126</v>
      </c>
      <c r="I44" s="320">
        <v>10</v>
      </c>
      <c r="J44" s="43">
        <v>3000</v>
      </c>
      <c r="K44" s="18">
        <f t="shared" si="1"/>
        <v>300</v>
      </c>
      <c r="L44" s="320">
        <v>10</v>
      </c>
      <c r="M44" s="19">
        <f t="shared" si="32"/>
        <v>2869.5652173913045</v>
      </c>
      <c r="N44" s="19">
        <f t="shared" si="3"/>
        <v>286.95652173913044</v>
      </c>
      <c r="O44" s="20">
        <f t="shared" si="4"/>
        <v>0</v>
      </c>
      <c r="P44" s="21">
        <f t="shared" si="5"/>
        <v>-13.043478260869563</v>
      </c>
      <c r="Q44" s="317">
        <f t="shared" si="6"/>
        <v>0.95652173913043481</v>
      </c>
      <c r="R44" s="585"/>
      <c r="S44" s="49">
        <v>0.33819444444444446</v>
      </c>
      <c r="T44" s="49">
        <v>0.45</v>
      </c>
      <c r="U44" s="318">
        <f t="shared" si="34"/>
        <v>5.9999999999999787</v>
      </c>
      <c r="V44" s="321">
        <f t="shared" si="33"/>
        <v>161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-130.43478260869551</v>
      </c>
      <c r="AF44" s="317">
        <f t="shared" si="9"/>
        <v>0.95652173913043481</v>
      </c>
      <c r="AG44" s="585"/>
    </row>
    <row r="45" spans="1:33" ht="15.75" customHeight="1">
      <c r="A45" s="591" t="s">
        <v>1896</v>
      </c>
      <c r="B45" s="39" t="s">
        <v>46</v>
      </c>
      <c r="C45" s="570"/>
      <c r="D45" s="571"/>
      <c r="E45" s="315"/>
      <c r="F45" s="322"/>
      <c r="G45" s="318"/>
      <c r="H45" s="322"/>
      <c r="I45" s="32">
        <v>10.75</v>
      </c>
      <c r="J45" s="43">
        <v>2750</v>
      </c>
      <c r="K45" s="18">
        <f t="shared" si="1"/>
        <v>255.81395348837211</v>
      </c>
      <c r="L45" s="32">
        <v>10.75</v>
      </c>
      <c r="M45" s="19">
        <f>AVERAGE(M41:M44)</f>
        <v>2629.1556380423003</v>
      </c>
      <c r="N45" s="18">
        <f t="shared" si="3"/>
        <v>244.57261749230702</v>
      </c>
      <c r="O45" s="20">
        <f t="shared" si="4"/>
        <v>0</v>
      </c>
      <c r="P45" s="21">
        <f t="shared" si="5"/>
        <v>-11.241335996065089</v>
      </c>
      <c r="Q45" s="317">
        <f t="shared" si="6"/>
        <v>0.95605659565174561</v>
      </c>
      <c r="R45" s="586"/>
      <c r="S45" s="49"/>
      <c r="T45" s="49"/>
      <c r="U45" s="318"/>
      <c r="V45" s="321"/>
      <c r="W45" s="25"/>
      <c r="X45" s="25"/>
      <c r="Y45" s="33">
        <f>SUM(Y41:Y44)</f>
        <v>0</v>
      </c>
      <c r="Z45" s="33">
        <f>SUM(Z41:Z44)</f>
        <v>0</v>
      </c>
      <c r="AA45" s="587"/>
      <c r="AB45" s="588"/>
      <c r="AC45" s="33">
        <v>4</v>
      </c>
      <c r="AD45" s="33">
        <f>SUM(AD41:AD44)</f>
        <v>0</v>
      </c>
      <c r="AE45" s="20">
        <f t="shared" si="8"/>
        <v>-120.84436195769968</v>
      </c>
      <c r="AF45" s="317">
        <f t="shared" si="9"/>
        <v>0.95605659565174561</v>
      </c>
      <c r="AG45" s="586"/>
    </row>
    <row r="46" spans="1:33" ht="15.75" customHeight="1">
      <c r="A46" s="582" t="s">
        <v>62</v>
      </c>
      <c r="B46" s="39" t="s">
        <v>79</v>
      </c>
      <c r="C46" s="574" t="s">
        <v>109</v>
      </c>
      <c r="D46" s="574"/>
      <c r="E46" s="39">
        <v>46</v>
      </c>
      <c r="F46" s="45">
        <v>2633</v>
      </c>
      <c r="G46" s="318">
        <f t="shared" ref="G46:G54" si="35">E46*F46</f>
        <v>121118</v>
      </c>
      <c r="H46" s="48" t="s">
        <v>126</v>
      </c>
      <c r="I46" s="320">
        <v>16</v>
      </c>
      <c r="J46" s="43">
        <v>2000</v>
      </c>
      <c r="K46" s="18">
        <f t="shared" si="1"/>
        <v>125</v>
      </c>
      <c r="L46" s="320">
        <v>16</v>
      </c>
      <c r="M46" s="19">
        <f t="shared" ref="M46" si="36">F46/V46*60</f>
        <v>1926.5853658536589</v>
      </c>
      <c r="N46" s="19">
        <f t="shared" si="3"/>
        <v>120.41158536585368</v>
      </c>
      <c r="O46" s="20">
        <f t="shared" si="4"/>
        <v>0</v>
      </c>
      <c r="P46" s="21">
        <f t="shared" si="5"/>
        <v>-4.5884146341463179</v>
      </c>
      <c r="Q46" s="317">
        <f t="shared" si="6"/>
        <v>0.96329268292682946</v>
      </c>
      <c r="R46" s="573">
        <f>Q55</f>
        <v>0.96079817693922576</v>
      </c>
      <c r="S46" s="49">
        <v>0.20833333333333334</v>
      </c>
      <c r="T46" s="49">
        <v>0.26527777777777778</v>
      </c>
      <c r="U46" s="30"/>
      <c r="V46" s="321">
        <f t="shared" ref="V46:V54" si="37">(T46-S46)*24*60</f>
        <v>81.999999999999986</v>
      </c>
      <c r="W46" s="30"/>
      <c r="X46" s="30"/>
      <c r="Y46" s="30"/>
      <c r="Z46" s="30"/>
      <c r="AA46" s="575"/>
      <c r="AB46" s="575"/>
      <c r="AC46" s="50">
        <v>9</v>
      </c>
      <c r="AD46" s="27"/>
      <c r="AE46" s="20">
        <f t="shared" si="8"/>
        <v>-73.414634146341086</v>
      </c>
      <c r="AF46" s="317">
        <f t="shared" si="9"/>
        <v>0.96329268292682946</v>
      </c>
      <c r="AG46" s="573">
        <f>AF55</f>
        <v>0.96079817693922587</v>
      </c>
    </row>
    <row r="47" spans="1:33" ht="15.75" customHeight="1">
      <c r="A47" s="582" t="s">
        <v>62</v>
      </c>
      <c r="B47" s="39" t="s">
        <v>74</v>
      </c>
      <c r="C47" s="574" t="s">
        <v>110</v>
      </c>
      <c r="D47" s="574"/>
      <c r="E47" s="39">
        <v>56.43</v>
      </c>
      <c r="F47" s="45">
        <v>1731</v>
      </c>
      <c r="G47" s="318">
        <f t="shared" si="35"/>
        <v>97680.33</v>
      </c>
      <c r="H47" s="48" t="s">
        <v>126</v>
      </c>
      <c r="I47" s="320">
        <v>22</v>
      </c>
      <c r="J47" s="43">
        <v>2000</v>
      </c>
      <c r="K47" s="18">
        <f t="shared" si="1"/>
        <v>90.909090909090907</v>
      </c>
      <c r="L47" s="320">
        <v>22</v>
      </c>
      <c r="M47" s="19">
        <f>F47/V47*60</f>
        <v>1923.3333333333344</v>
      </c>
      <c r="N47" s="19">
        <f t="shared" si="3"/>
        <v>87.424242424242479</v>
      </c>
      <c r="O47" s="20">
        <f t="shared" si="4"/>
        <v>0</v>
      </c>
      <c r="P47" s="21">
        <f t="shared" si="5"/>
        <v>-3.4848484848484276</v>
      </c>
      <c r="Q47" s="317">
        <f t="shared" si="6"/>
        <v>0.96166666666666734</v>
      </c>
      <c r="R47" s="573"/>
      <c r="S47" s="49">
        <v>0.26944444444444443</v>
      </c>
      <c r="T47" s="49">
        <v>0.30694444444444441</v>
      </c>
      <c r="U47" s="318">
        <f t="shared" ref="U47:U54" si="38">IF(S47=TIME(17,0,0),"",(S47-T46)*24*60)</f>
        <v>5.9999999999999787</v>
      </c>
      <c r="V47" s="321">
        <f t="shared" si="37"/>
        <v>53.999999999999972</v>
      </c>
      <c r="W47" s="25"/>
      <c r="X47" s="25"/>
      <c r="Y47" s="25"/>
      <c r="Z47" s="25"/>
      <c r="AA47" s="575"/>
      <c r="AB47" s="575"/>
      <c r="AC47" s="50"/>
      <c r="AD47" s="27"/>
      <c r="AE47" s="20">
        <f t="shared" si="8"/>
        <v>-76.666666666665606</v>
      </c>
      <c r="AF47" s="317">
        <f t="shared" si="9"/>
        <v>0.96166666666666722</v>
      </c>
      <c r="AG47" s="573"/>
    </row>
    <row r="48" spans="1:33" ht="15.75" customHeight="1">
      <c r="A48" s="582" t="s">
        <v>62</v>
      </c>
      <c r="B48" s="39" t="s">
        <v>74</v>
      </c>
      <c r="C48" s="566" t="s">
        <v>111</v>
      </c>
      <c r="D48" s="567"/>
      <c r="E48" s="39">
        <v>51.75</v>
      </c>
      <c r="F48" s="45">
        <v>1031</v>
      </c>
      <c r="G48" s="318">
        <f t="shared" si="35"/>
        <v>53354.25</v>
      </c>
      <c r="H48" s="48" t="s">
        <v>126</v>
      </c>
      <c r="I48" s="320">
        <v>25</v>
      </c>
      <c r="J48" s="43">
        <v>2000</v>
      </c>
      <c r="K48" s="18">
        <f t="shared" si="1"/>
        <v>80</v>
      </c>
      <c r="L48" s="320">
        <v>25</v>
      </c>
      <c r="M48" s="19">
        <f t="shared" ref="M48:M54" si="39">F48/V48*60</f>
        <v>1933.125000000002</v>
      </c>
      <c r="N48" s="19">
        <f t="shared" si="3"/>
        <v>77.325000000000088</v>
      </c>
      <c r="O48" s="20">
        <f t="shared" si="4"/>
        <v>0</v>
      </c>
      <c r="P48" s="21">
        <f t="shared" si="5"/>
        <v>-2.6749999999999119</v>
      </c>
      <c r="Q48" s="317">
        <f t="shared" si="6"/>
        <v>0.9665625000000011</v>
      </c>
      <c r="R48" s="573"/>
      <c r="S48" s="49">
        <v>0.31041666666666662</v>
      </c>
      <c r="T48" s="49">
        <v>0.33263888888888882</v>
      </c>
      <c r="U48" s="318">
        <f t="shared" si="38"/>
        <v>4.9999999999999822</v>
      </c>
      <c r="V48" s="321">
        <f t="shared" si="37"/>
        <v>31.999999999999964</v>
      </c>
      <c r="W48" s="25"/>
      <c r="X48" s="25"/>
      <c r="Y48" s="28"/>
      <c r="Z48" s="28"/>
      <c r="AA48" s="575"/>
      <c r="AB48" s="575"/>
      <c r="AC48" s="50"/>
      <c r="AD48" s="27"/>
      <c r="AE48" s="20">
        <f t="shared" si="8"/>
        <v>-66.874999999997954</v>
      </c>
      <c r="AF48" s="317">
        <f t="shared" si="9"/>
        <v>0.96656250000000099</v>
      </c>
      <c r="AG48" s="573"/>
    </row>
    <row r="49" spans="1:33" ht="15.75" customHeight="1">
      <c r="A49" s="582" t="s">
        <v>1897</v>
      </c>
      <c r="B49" s="39" t="s">
        <v>74</v>
      </c>
      <c r="C49" s="313" t="s">
        <v>88</v>
      </c>
      <c r="D49" s="314"/>
      <c r="E49" s="39">
        <v>59.04</v>
      </c>
      <c r="F49" s="45">
        <v>4711</v>
      </c>
      <c r="G49" s="318">
        <f t="shared" si="35"/>
        <v>278137.44</v>
      </c>
      <c r="H49" s="48" t="s">
        <v>126</v>
      </c>
      <c r="I49" s="320">
        <v>19</v>
      </c>
      <c r="J49" s="43">
        <v>2000</v>
      </c>
      <c r="K49" s="18">
        <f t="shared" si="1"/>
        <v>105.26315789473684</v>
      </c>
      <c r="L49" s="320">
        <v>19</v>
      </c>
      <c r="M49" s="19">
        <f t="shared" si="39"/>
        <v>1909.8648648648643</v>
      </c>
      <c r="N49" s="19">
        <f t="shared" si="3"/>
        <v>100.51920341394023</v>
      </c>
      <c r="O49" s="20">
        <f t="shared" si="4"/>
        <v>0</v>
      </c>
      <c r="P49" s="21">
        <f t="shared" si="5"/>
        <v>-4.743954480796603</v>
      </c>
      <c r="Q49" s="317">
        <f t="shared" si="6"/>
        <v>0.95493243243243231</v>
      </c>
      <c r="R49" s="573"/>
      <c r="S49" s="49">
        <v>0.33680555555555547</v>
      </c>
      <c r="T49" s="49">
        <v>0.43958333333333327</v>
      </c>
      <c r="U49" s="318">
        <f t="shared" si="38"/>
        <v>5.9999999999999787</v>
      </c>
      <c r="V49" s="321">
        <f t="shared" si="37"/>
        <v>148.00000000000003</v>
      </c>
      <c r="W49" s="25"/>
      <c r="X49" s="25"/>
      <c r="Y49" s="28"/>
      <c r="Z49" s="28"/>
      <c r="AA49" s="575"/>
      <c r="AB49" s="575"/>
      <c r="AC49" s="50"/>
      <c r="AD49" s="27"/>
      <c r="AE49" s="20">
        <f t="shared" si="8"/>
        <v>-90.13513513513567</v>
      </c>
      <c r="AF49" s="317">
        <f t="shared" si="9"/>
        <v>0.9549324324324322</v>
      </c>
      <c r="AG49" s="573"/>
    </row>
    <row r="50" spans="1:33" ht="15.75" customHeight="1">
      <c r="A50" s="582" t="s">
        <v>1898</v>
      </c>
      <c r="B50" s="39" t="s">
        <v>79</v>
      </c>
      <c r="C50" s="313" t="s">
        <v>1233</v>
      </c>
      <c r="D50" s="314"/>
      <c r="E50" s="39">
        <v>46</v>
      </c>
      <c r="F50" s="45">
        <v>3981</v>
      </c>
      <c r="G50" s="318">
        <f t="shared" si="35"/>
        <v>183126</v>
      </c>
      <c r="H50" s="48" t="s">
        <v>126</v>
      </c>
      <c r="I50" s="320">
        <v>16</v>
      </c>
      <c r="J50" s="43">
        <v>2000</v>
      </c>
      <c r="K50" s="18">
        <f t="shared" si="1"/>
        <v>125</v>
      </c>
      <c r="L50" s="320">
        <v>16</v>
      </c>
      <c r="M50" s="19">
        <f t="shared" si="39"/>
        <v>1910.8800000000006</v>
      </c>
      <c r="N50" s="19">
        <f t="shared" si="3"/>
        <v>119.43000000000004</v>
      </c>
      <c r="O50" s="20">
        <f t="shared" si="4"/>
        <v>0</v>
      </c>
      <c r="P50" s="21">
        <f t="shared" si="5"/>
        <v>-5.5699999999999648</v>
      </c>
      <c r="Q50" s="317">
        <f t="shared" si="6"/>
        <v>0.95544000000000029</v>
      </c>
      <c r="R50" s="573"/>
      <c r="S50" s="49">
        <v>0.44444444444444436</v>
      </c>
      <c r="T50" s="49">
        <v>0.53124999999999989</v>
      </c>
      <c r="U50" s="318">
        <f t="shared" si="38"/>
        <v>6.9999999999999751</v>
      </c>
      <c r="V50" s="321">
        <f t="shared" si="37"/>
        <v>124.99999999999996</v>
      </c>
      <c r="W50" s="25"/>
      <c r="X50" s="25"/>
      <c r="Y50" s="28"/>
      <c r="Z50" s="28"/>
      <c r="AA50" s="575"/>
      <c r="AB50" s="575"/>
      <c r="AC50" s="50"/>
      <c r="AD50" s="27"/>
      <c r="AE50" s="20">
        <f t="shared" si="8"/>
        <v>-89.119999999999436</v>
      </c>
      <c r="AF50" s="317">
        <f t="shared" si="9"/>
        <v>0.95544000000000029</v>
      </c>
      <c r="AG50" s="573"/>
    </row>
    <row r="51" spans="1:33" ht="15.75" customHeight="1">
      <c r="A51" s="582" t="s">
        <v>1897</v>
      </c>
      <c r="B51" s="39" t="s">
        <v>74</v>
      </c>
      <c r="C51" s="566" t="s">
        <v>113</v>
      </c>
      <c r="D51" s="567"/>
      <c r="E51" s="39">
        <v>55.56</v>
      </c>
      <c r="F51" s="45">
        <v>2443</v>
      </c>
      <c r="G51" s="318">
        <f t="shared" si="35"/>
        <v>135733.08000000002</v>
      </c>
      <c r="H51" s="48" t="s">
        <v>126</v>
      </c>
      <c r="I51" s="320">
        <v>17</v>
      </c>
      <c r="J51" s="43">
        <v>2000</v>
      </c>
      <c r="K51" s="18">
        <f t="shared" si="1"/>
        <v>117.64705882352941</v>
      </c>
      <c r="L51" s="320">
        <v>17</v>
      </c>
      <c r="M51" s="19">
        <f t="shared" si="39"/>
        <v>1903.6363636363626</v>
      </c>
      <c r="N51" s="19">
        <f t="shared" si="3"/>
        <v>111.97860962566838</v>
      </c>
      <c r="O51" s="20">
        <f t="shared" si="4"/>
        <v>0</v>
      </c>
      <c r="P51" s="21">
        <f t="shared" si="5"/>
        <v>-5.6684491978610225</v>
      </c>
      <c r="Q51" s="317">
        <f t="shared" si="6"/>
        <v>0.95181818181818134</v>
      </c>
      <c r="R51" s="573"/>
      <c r="S51" s="49">
        <v>0.70833333333333337</v>
      </c>
      <c r="T51" s="49">
        <v>0.76180555555555562</v>
      </c>
      <c r="U51" s="318" t="str">
        <f t="shared" si="38"/>
        <v/>
      </c>
      <c r="V51" s="321">
        <f t="shared" si="37"/>
        <v>77.000000000000043</v>
      </c>
      <c r="W51" s="25"/>
      <c r="X51" s="25"/>
      <c r="Y51" s="28"/>
      <c r="Z51" s="28"/>
      <c r="AA51" s="568"/>
      <c r="AB51" s="569"/>
      <c r="AC51" s="50"/>
      <c r="AD51" s="27"/>
      <c r="AE51" s="20">
        <f t="shared" si="8"/>
        <v>-96.363636363637397</v>
      </c>
      <c r="AF51" s="317">
        <f t="shared" si="9"/>
        <v>0.95181818181818134</v>
      </c>
      <c r="AG51" s="573"/>
    </row>
    <row r="52" spans="1:33" ht="15.75" customHeight="1">
      <c r="A52" s="582" t="s">
        <v>62</v>
      </c>
      <c r="B52" s="39" t="s">
        <v>74</v>
      </c>
      <c r="C52" s="566" t="s">
        <v>114</v>
      </c>
      <c r="D52" s="567"/>
      <c r="E52" s="39">
        <v>54.29</v>
      </c>
      <c r="F52" s="45">
        <v>1171</v>
      </c>
      <c r="G52" s="318">
        <f t="shared" si="35"/>
        <v>63573.59</v>
      </c>
      <c r="H52" s="48" t="s">
        <v>126</v>
      </c>
      <c r="I52" s="320">
        <v>20</v>
      </c>
      <c r="J52" s="43">
        <v>2000</v>
      </c>
      <c r="K52" s="18">
        <f t="shared" si="1"/>
        <v>100</v>
      </c>
      <c r="L52" s="320">
        <v>20</v>
      </c>
      <c r="M52" s="19">
        <f t="shared" si="39"/>
        <v>1951.6666666666649</v>
      </c>
      <c r="N52" s="19">
        <f t="shared" si="3"/>
        <v>97.583333333333243</v>
      </c>
      <c r="O52" s="20">
        <f t="shared" si="4"/>
        <v>0</v>
      </c>
      <c r="P52" s="21">
        <f t="shared" si="5"/>
        <v>-2.4166666666667567</v>
      </c>
      <c r="Q52" s="317">
        <f t="shared" si="6"/>
        <v>0.97583333333333244</v>
      </c>
      <c r="R52" s="573"/>
      <c r="S52" s="49">
        <v>0.76666666666666672</v>
      </c>
      <c r="T52" s="49">
        <v>0.79166666666666674</v>
      </c>
      <c r="U52" s="318">
        <f t="shared" si="38"/>
        <v>6.9999999999999751</v>
      </c>
      <c r="V52" s="321">
        <f t="shared" si="37"/>
        <v>36.000000000000028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-48.333333333335077</v>
      </c>
      <c r="AF52" s="317">
        <f t="shared" si="9"/>
        <v>0.97583333333333244</v>
      </c>
      <c r="AG52" s="573"/>
    </row>
    <row r="53" spans="1:33" ht="15.75" customHeight="1">
      <c r="A53" s="582" t="s">
        <v>62</v>
      </c>
      <c r="B53" s="39" t="s">
        <v>74</v>
      </c>
      <c r="C53" s="566" t="s">
        <v>1826</v>
      </c>
      <c r="D53" s="567"/>
      <c r="E53" s="39">
        <v>51.06</v>
      </c>
      <c r="F53" s="45">
        <v>1600</v>
      </c>
      <c r="G53" s="318">
        <f t="shared" si="35"/>
        <v>81696</v>
      </c>
      <c r="H53" s="48">
        <v>2</v>
      </c>
      <c r="I53" s="320">
        <v>13</v>
      </c>
      <c r="J53" s="43">
        <v>2000</v>
      </c>
      <c r="K53" s="18">
        <f t="shared" si="1"/>
        <v>153.84615384615384</v>
      </c>
      <c r="L53" s="320">
        <v>13</v>
      </c>
      <c r="M53" s="19">
        <f t="shared" si="39"/>
        <v>1920.0000000000005</v>
      </c>
      <c r="N53" s="19">
        <f t="shared" si="3"/>
        <v>147.69230769230774</v>
      </c>
      <c r="O53" s="20">
        <f t="shared" si="4"/>
        <v>0</v>
      </c>
      <c r="P53" s="21">
        <f t="shared" si="5"/>
        <v>-6.1538461538461036</v>
      </c>
      <c r="Q53" s="317">
        <f t="shared" si="6"/>
        <v>0.9600000000000003</v>
      </c>
      <c r="R53" s="573"/>
      <c r="S53" s="49">
        <v>0.79513888888888895</v>
      </c>
      <c r="T53" s="49">
        <v>0.82986111111111116</v>
      </c>
      <c r="U53" s="318">
        <f t="shared" si="38"/>
        <v>4.9999999999999822</v>
      </c>
      <c r="V53" s="321">
        <f t="shared" si="37"/>
        <v>49.999999999999986</v>
      </c>
      <c r="W53" s="25">
        <f>T53</f>
        <v>0.82986111111111116</v>
      </c>
      <c r="X53" s="25">
        <f>S54</f>
        <v>0.87222222222222223</v>
      </c>
      <c r="Y53" s="28"/>
      <c r="Z53" s="28"/>
      <c r="AA53" s="568"/>
      <c r="AB53" s="569"/>
      <c r="AC53" s="50"/>
      <c r="AD53" s="27"/>
      <c r="AE53" s="20">
        <f t="shared" si="8"/>
        <v>-79.999999999999545</v>
      </c>
      <c r="AF53" s="317">
        <f t="shared" si="9"/>
        <v>0.96000000000000019</v>
      </c>
      <c r="AG53" s="573"/>
    </row>
    <row r="54" spans="1:33">
      <c r="A54" s="582" t="s">
        <v>62</v>
      </c>
      <c r="B54" s="39" t="s">
        <v>74</v>
      </c>
      <c r="C54" s="313" t="s">
        <v>1826</v>
      </c>
      <c r="D54" s="314"/>
      <c r="E54" s="39">
        <v>51.06</v>
      </c>
      <c r="F54" s="45">
        <v>4054</v>
      </c>
      <c r="G54" s="318">
        <f t="shared" si="35"/>
        <v>206997.24000000002</v>
      </c>
      <c r="H54" s="48" t="s">
        <v>126</v>
      </c>
      <c r="I54" s="320">
        <v>13</v>
      </c>
      <c r="J54" s="43">
        <v>2000</v>
      </c>
      <c r="K54" s="18">
        <f t="shared" si="1"/>
        <v>153.84615384615384</v>
      </c>
      <c r="L54" s="320">
        <v>13</v>
      </c>
      <c r="M54" s="19">
        <f t="shared" si="39"/>
        <v>1915.2755905511806</v>
      </c>
      <c r="N54" s="19">
        <f t="shared" si="3"/>
        <v>147.32889158086004</v>
      </c>
      <c r="O54" s="20">
        <f t="shared" si="4"/>
        <v>0</v>
      </c>
      <c r="P54" s="21">
        <f t="shared" si="5"/>
        <v>-6.5172622652937946</v>
      </c>
      <c r="Q54" s="317">
        <f t="shared" si="6"/>
        <v>0.95763779527559034</v>
      </c>
      <c r="R54" s="573"/>
      <c r="S54" s="49">
        <v>0.87222222222222223</v>
      </c>
      <c r="T54" s="49">
        <v>0.9604166666666667</v>
      </c>
      <c r="U54" s="318">
        <f t="shared" si="38"/>
        <v>60.999999999999943</v>
      </c>
      <c r="V54" s="321">
        <f t="shared" si="37"/>
        <v>127.00000000000003</v>
      </c>
      <c r="W54" s="25"/>
      <c r="X54" s="25"/>
      <c r="Y54" s="28"/>
      <c r="Z54" s="28"/>
      <c r="AA54" s="311"/>
      <c r="AB54" s="312"/>
      <c r="AC54" s="50"/>
      <c r="AD54" s="27"/>
      <c r="AE54" s="20">
        <f t="shared" si="8"/>
        <v>-84.724409448819415</v>
      </c>
      <c r="AF54" s="317">
        <f t="shared" si="9"/>
        <v>0.95763779527559034</v>
      </c>
      <c r="AG54" s="573"/>
    </row>
    <row r="55" spans="1:33">
      <c r="A55" s="583" t="s">
        <v>62</v>
      </c>
      <c r="B55" s="39" t="s">
        <v>46</v>
      </c>
      <c r="C55" s="576"/>
      <c r="D55" s="576"/>
      <c r="E55" s="319"/>
      <c r="F55" s="42"/>
      <c r="G55" s="18"/>
      <c r="H55" s="322"/>
      <c r="I55" s="32">
        <v>17.888888888888889</v>
      </c>
      <c r="J55" s="43">
        <v>2000</v>
      </c>
      <c r="K55" s="18">
        <f t="shared" si="1"/>
        <v>111.80124223602485</v>
      </c>
      <c r="L55" s="32">
        <v>17.888888888888889</v>
      </c>
      <c r="M55" s="19">
        <f>AVERAGE(M46:M54)</f>
        <v>1921.5963538784517</v>
      </c>
      <c r="N55" s="18">
        <f t="shared" si="3"/>
        <v>107.41842971991345</v>
      </c>
      <c r="O55" s="20">
        <f t="shared" si="4"/>
        <v>0</v>
      </c>
      <c r="P55" s="21">
        <f t="shared" si="5"/>
        <v>-4.3828125161114002</v>
      </c>
      <c r="Q55" s="317">
        <f t="shared" si="6"/>
        <v>0.96079817693922576</v>
      </c>
      <c r="R55" s="573"/>
      <c r="S55" s="49"/>
      <c r="T55" s="49"/>
      <c r="U55" s="318"/>
      <c r="V55" s="321"/>
      <c r="W55" s="18"/>
      <c r="X55" s="18"/>
      <c r="Y55" s="33">
        <f>SUM(Y46:Y54)</f>
        <v>0</v>
      </c>
      <c r="Z55" s="33">
        <f>SUM(Z46:Z54)</f>
        <v>0</v>
      </c>
      <c r="AA55" s="572"/>
      <c r="AB55" s="572"/>
      <c r="AC55" s="33">
        <v>9</v>
      </c>
      <c r="AD55" s="33">
        <f>SUM(AD46:AD54)</f>
        <v>0</v>
      </c>
      <c r="AE55" s="20">
        <f>M55-J55</f>
        <v>-78.403646121548263</v>
      </c>
      <c r="AF55" s="317">
        <f t="shared" si="9"/>
        <v>0.96079817693922587</v>
      </c>
      <c r="AG55" s="573"/>
    </row>
    <row r="56" spans="1:33" ht="15.75" customHeight="1">
      <c r="A56" s="580" t="s">
        <v>1899</v>
      </c>
      <c r="B56" s="322" t="s">
        <v>104</v>
      </c>
      <c r="C56" s="574" t="s">
        <v>115</v>
      </c>
      <c r="D56" s="574"/>
      <c r="E56" s="39">
        <v>34.36</v>
      </c>
      <c r="F56" s="45">
        <v>2482</v>
      </c>
      <c r="G56" s="318">
        <f t="shared" ref="G56:G61" si="40">E56*F56</f>
        <v>85281.52</v>
      </c>
      <c r="H56" s="48" t="s">
        <v>126</v>
      </c>
      <c r="I56" s="320">
        <v>10</v>
      </c>
      <c r="J56" s="43">
        <v>3000</v>
      </c>
      <c r="K56" s="18">
        <f t="shared" si="1"/>
        <v>300</v>
      </c>
      <c r="L56" s="320">
        <v>10</v>
      </c>
      <c r="M56" s="19">
        <f t="shared" ref="M56:M61" si="41">F56/V56*60</f>
        <v>2863.8461538461534</v>
      </c>
      <c r="N56" s="18">
        <f t="shared" si="3"/>
        <v>286.38461538461536</v>
      </c>
      <c r="O56" s="20">
        <f t="shared" si="4"/>
        <v>0</v>
      </c>
      <c r="P56" s="21">
        <f t="shared" si="5"/>
        <v>-13.615384615384642</v>
      </c>
      <c r="Q56" s="317">
        <f t="shared" si="6"/>
        <v>0.95461538461538453</v>
      </c>
      <c r="R56" s="573">
        <f>Q62</f>
        <v>0.96146288267738589</v>
      </c>
      <c r="S56" s="49">
        <v>0.20833333333333334</v>
      </c>
      <c r="T56" s="49">
        <v>0.24444444444444446</v>
      </c>
      <c r="U56" s="318"/>
      <c r="V56" s="321">
        <f t="shared" ref="V56:V61" si="42">(T56-S56)*24*60</f>
        <v>52.000000000000014</v>
      </c>
      <c r="W56" s="30"/>
      <c r="X56" s="30"/>
      <c r="Y56" s="30"/>
      <c r="Z56" s="30"/>
      <c r="AA56" s="575"/>
      <c r="AB56" s="575"/>
      <c r="AC56" s="50">
        <v>6</v>
      </c>
      <c r="AD56" s="27"/>
      <c r="AE56" s="20">
        <f t="shared" ref="AE56:AE71" si="43">M56-J56</f>
        <v>-136.15384615384664</v>
      </c>
      <c r="AF56" s="317">
        <f t="shared" si="9"/>
        <v>0.95461538461538442</v>
      </c>
      <c r="AG56" s="573">
        <f>AF62</f>
        <v>0.96146288267738589</v>
      </c>
    </row>
    <row r="57" spans="1:33" ht="15.75" customHeight="1">
      <c r="A57" s="580" t="s">
        <v>1900</v>
      </c>
      <c r="B57" s="322" t="s">
        <v>104</v>
      </c>
      <c r="C57" s="574" t="s">
        <v>116</v>
      </c>
      <c r="D57" s="574"/>
      <c r="E57" s="39">
        <v>34.36</v>
      </c>
      <c r="F57" s="45">
        <v>1240</v>
      </c>
      <c r="G57" s="318">
        <f t="shared" si="40"/>
        <v>42606.400000000001</v>
      </c>
      <c r="H57" s="48" t="s">
        <v>126</v>
      </c>
      <c r="I57" s="320">
        <v>10</v>
      </c>
      <c r="J57" s="43">
        <v>3000</v>
      </c>
      <c r="K57" s="18">
        <f t="shared" si="1"/>
        <v>300</v>
      </c>
      <c r="L57" s="320">
        <v>10</v>
      </c>
      <c r="M57" s="19">
        <f t="shared" si="41"/>
        <v>2861.5384615384587</v>
      </c>
      <c r="N57" s="18">
        <f t="shared" si="3"/>
        <v>286.15384615384585</v>
      </c>
      <c r="O57" s="20">
        <f t="shared" si="4"/>
        <v>0</v>
      </c>
      <c r="P57" s="21">
        <f t="shared" si="5"/>
        <v>-13.846153846154152</v>
      </c>
      <c r="Q57" s="317">
        <f t="shared" si="6"/>
        <v>0.95384615384615279</v>
      </c>
      <c r="R57" s="573"/>
      <c r="S57" s="49">
        <v>0.24861111111111114</v>
      </c>
      <c r="T57" s="49">
        <v>0.26666666666666672</v>
      </c>
      <c r="U57" s="318">
        <f t="shared" ref="U57:U61" si="44">(S57-T56)*24*60</f>
        <v>6.0000000000000187</v>
      </c>
      <c r="V57" s="321">
        <f t="shared" si="42"/>
        <v>26.000000000000028</v>
      </c>
      <c r="W57" s="318"/>
      <c r="X57" s="318"/>
      <c r="Y57" s="318"/>
      <c r="Z57" s="318"/>
      <c r="AA57" s="575"/>
      <c r="AB57" s="575"/>
      <c r="AC57" s="50"/>
      <c r="AD57" s="27"/>
      <c r="AE57" s="20">
        <f t="shared" si="43"/>
        <v>-138.46153846154129</v>
      </c>
      <c r="AF57" s="317">
        <f t="shared" si="9"/>
        <v>0.9538461538461529</v>
      </c>
      <c r="AG57" s="573"/>
    </row>
    <row r="58" spans="1:33" ht="15.75" customHeight="1">
      <c r="A58" s="580" t="s">
        <v>66</v>
      </c>
      <c r="B58" s="322" t="s">
        <v>104</v>
      </c>
      <c r="C58" s="574" t="s">
        <v>117</v>
      </c>
      <c r="D58" s="574"/>
      <c r="E58" s="39">
        <v>26.78</v>
      </c>
      <c r="F58" s="45">
        <v>2701</v>
      </c>
      <c r="G58" s="318">
        <f t="shared" si="40"/>
        <v>72332.78</v>
      </c>
      <c r="H58" s="48" t="s">
        <v>126</v>
      </c>
      <c r="I58" s="320">
        <v>10</v>
      </c>
      <c r="J58" s="43">
        <v>3000</v>
      </c>
      <c r="K58" s="18">
        <f t="shared" si="1"/>
        <v>300</v>
      </c>
      <c r="L58" s="320">
        <v>10</v>
      </c>
      <c r="M58" s="19">
        <f t="shared" si="41"/>
        <v>2893.9285714285738</v>
      </c>
      <c r="N58" s="18">
        <f t="shared" si="3"/>
        <v>289.39285714285739</v>
      </c>
      <c r="O58" s="20">
        <f t="shared" si="4"/>
        <v>0</v>
      </c>
      <c r="P58" s="21">
        <f t="shared" si="5"/>
        <v>-10.607142857142605</v>
      </c>
      <c r="Q58" s="317">
        <f t="shared" si="6"/>
        <v>0.96464285714285802</v>
      </c>
      <c r="R58" s="573"/>
      <c r="S58" s="49">
        <v>0.27083333333333337</v>
      </c>
      <c r="T58" s="49">
        <v>0.30972222222222223</v>
      </c>
      <c r="U58" s="318">
        <f t="shared" si="44"/>
        <v>5.9999999999999787</v>
      </c>
      <c r="V58" s="321">
        <f t="shared" si="42"/>
        <v>55.999999999999957</v>
      </c>
      <c r="W58" s="318"/>
      <c r="X58" s="318"/>
      <c r="Y58" s="318"/>
      <c r="Z58" s="318"/>
      <c r="AA58" s="575"/>
      <c r="AB58" s="575"/>
      <c r="AC58" s="50"/>
      <c r="AD58" s="27"/>
      <c r="AE58" s="20">
        <f t="shared" si="43"/>
        <v>-106.07142857142617</v>
      </c>
      <c r="AF58" s="317">
        <f t="shared" si="9"/>
        <v>0.96464285714285791</v>
      </c>
      <c r="AG58" s="573"/>
    </row>
    <row r="59" spans="1:33" ht="15.75" customHeight="1">
      <c r="A59" s="580" t="s">
        <v>66</v>
      </c>
      <c r="B59" s="322" t="s">
        <v>104</v>
      </c>
      <c r="C59" s="574" t="s">
        <v>118</v>
      </c>
      <c r="D59" s="574"/>
      <c r="E59" s="39">
        <v>37.880000000000003</v>
      </c>
      <c r="F59" s="45">
        <v>1418</v>
      </c>
      <c r="G59" s="318">
        <f t="shared" si="40"/>
        <v>53713.840000000004</v>
      </c>
      <c r="H59" s="48" t="s">
        <v>126</v>
      </c>
      <c r="I59" s="320">
        <v>10</v>
      </c>
      <c r="J59" s="43">
        <v>3000</v>
      </c>
      <c r="K59" s="18">
        <f t="shared" si="1"/>
        <v>300</v>
      </c>
      <c r="L59" s="320">
        <v>10</v>
      </c>
      <c r="M59" s="19">
        <f t="shared" si="41"/>
        <v>2933.7931034482781</v>
      </c>
      <c r="N59" s="18">
        <f t="shared" si="3"/>
        <v>293.37931034482779</v>
      </c>
      <c r="O59" s="20">
        <f t="shared" si="4"/>
        <v>0</v>
      </c>
      <c r="P59" s="21">
        <f t="shared" si="5"/>
        <v>-6.6206896551722139</v>
      </c>
      <c r="Q59" s="317">
        <f t="shared" si="6"/>
        <v>0.97793103448275931</v>
      </c>
      <c r="R59" s="573"/>
      <c r="S59" s="49">
        <v>0.31319444444444444</v>
      </c>
      <c r="T59" s="49">
        <v>0.33333333333333331</v>
      </c>
      <c r="U59" s="318">
        <f t="shared" si="44"/>
        <v>4.9999999999999822</v>
      </c>
      <c r="V59" s="321">
        <f t="shared" si="42"/>
        <v>28.999999999999979</v>
      </c>
      <c r="W59" s="318"/>
      <c r="X59" s="318"/>
      <c r="Y59" s="318"/>
      <c r="Z59" s="318"/>
      <c r="AA59" s="575"/>
      <c r="AB59" s="575"/>
      <c r="AC59" s="50"/>
      <c r="AD59" s="27"/>
      <c r="AE59" s="20">
        <f t="shared" si="43"/>
        <v>-66.206896551721911</v>
      </c>
      <c r="AF59" s="317">
        <f t="shared" si="9"/>
        <v>0.97793103448275931</v>
      </c>
      <c r="AG59" s="573"/>
    </row>
    <row r="60" spans="1:33">
      <c r="A60" s="581" t="s">
        <v>66</v>
      </c>
      <c r="B60" s="322" t="s">
        <v>104</v>
      </c>
      <c r="C60" s="574" t="s">
        <v>119</v>
      </c>
      <c r="D60" s="574"/>
      <c r="E60" s="39">
        <v>35.869999999999997</v>
      </c>
      <c r="F60" s="45">
        <v>4372</v>
      </c>
      <c r="G60" s="318">
        <f t="shared" si="40"/>
        <v>156823.63999999998</v>
      </c>
      <c r="H60" s="48" t="s">
        <v>126</v>
      </c>
      <c r="I60" s="320">
        <v>9</v>
      </c>
      <c r="J60" s="43">
        <v>3000</v>
      </c>
      <c r="K60" s="18">
        <f t="shared" si="1"/>
        <v>333.33333333333331</v>
      </c>
      <c r="L60" s="320">
        <v>9</v>
      </c>
      <c r="M60" s="19">
        <f t="shared" si="41"/>
        <v>2882.6373626373625</v>
      </c>
      <c r="N60" s="18">
        <f t="shared" si="3"/>
        <v>320.29304029304029</v>
      </c>
      <c r="O60" s="20">
        <f t="shared" si="4"/>
        <v>0</v>
      </c>
      <c r="P60" s="21">
        <f t="shared" si="5"/>
        <v>-13.040293040293022</v>
      </c>
      <c r="Q60" s="317">
        <f t="shared" si="6"/>
        <v>0.96087912087912097</v>
      </c>
      <c r="R60" s="573"/>
      <c r="S60" s="49">
        <v>0.33749999999999997</v>
      </c>
      <c r="T60" s="49">
        <v>0.40069444444444441</v>
      </c>
      <c r="U60" s="318">
        <f t="shared" si="44"/>
        <v>5.9999999999999787</v>
      </c>
      <c r="V60" s="321">
        <f t="shared" si="42"/>
        <v>91</v>
      </c>
      <c r="W60" s="25"/>
      <c r="X60" s="25"/>
      <c r="Y60" s="25"/>
      <c r="Z60" s="25"/>
      <c r="AA60" s="575"/>
      <c r="AB60" s="575"/>
      <c r="AC60" s="50"/>
      <c r="AD60" s="27"/>
      <c r="AE60" s="20">
        <f t="shared" si="43"/>
        <v>-117.36263736263754</v>
      </c>
      <c r="AF60" s="317">
        <f t="shared" si="9"/>
        <v>0.96087912087912086</v>
      </c>
      <c r="AG60" s="573"/>
    </row>
    <row r="61" spans="1:33" ht="15" customHeight="1">
      <c r="A61" s="581" t="s">
        <v>926</v>
      </c>
      <c r="B61" s="322" t="s">
        <v>104</v>
      </c>
      <c r="C61" s="566" t="s">
        <v>120</v>
      </c>
      <c r="D61" s="567"/>
      <c r="E61" s="39">
        <v>34.35</v>
      </c>
      <c r="F61" s="45">
        <v>2440</v>
      </c>
      <c r="G61" s="318">
        <f t="shared" si="40"/>
        <v>83814</v>
      </c>
      <c r="H61" s="48" t="s">
        <v>126</v>
      </c>
      <c r="I61" s="320">
        <v>8</v>
      </c>
      <c r="J61" s="43">
        <v>3000</v>
      </c>
      <c r="K61" s="18">
        <f t="shared" si="1"/>
        <v>375</v>
      </c>
      <c r="L61" s="320">
        <v>8</v>
      </c>
      <c r="M61" s="19">
        <f t="shared" si="41"/>
        <v>2870.5882352941189</v>
      </c>
      <c r="N61" s="18">
        <f t="shared" si="3"/>
        <v>358.82352941176487</v>
      </c>
      <c r="O61" s="20">
        <f t="shared" si="4"/>
        <v>0</v>
      </c>
      <c r="P61" s="21">
        <f t="shared" si="5"/>
        <v>-16.176470588235134</v>
      </c>
      <c r="Q61" s="317">
        <f t="shared" si="6"/>
        <v>0.95686274509803959</v>
      </c>
      <c r="R61" s="573"/>
      <c r="S61" s="49">
        <v>0.4055555555555555</v>
      </c>
      <c r="T61" s="49">
        <v>0.44097222222222215</v>
      </c>
      <c r="U61" s="318">
        <f t="shared" si="44"/>
        <v>6.9999999999999751</v>
      </c>
      <c r="V61" s="321">
        <f t="shared" si="42"/>
        <v>50.999999999999979</v>
      </c>
      <c r="W61" s="318"/>
      <c r="X61" s="318"/>
      <c r="Y61" s="311"/>
      <c r="Z61" s="311"/>
      <c r="AA61" s="568"/>
      <c r="AB61" s="569"/>
      <c r="AC61" s="50"/>
      <c r="AD61" s="27"/>
      <c r="AE61" s="20">
        <f t="shared" si="43"/>
        <v>-129.41176470588107</v>
      </c>
      <c r="AF61" s="317">
        <f t="shared" si="9"/>
        <v>0.95686274509803959</v>
      </c>
      <c r="AG61" s="573"/>
    </row>
    <row r="62" spans="1:33">
      <c r="A62" s="581" t="s">
        <v>66</v>
      </c>
      <c r="B62" s="39" t="s">
        <v>46</v>
      </c>
      <c r="C62" s="576"/>
      <c r="D62" s="576"/>
      <c r="E62" s="319"/>
      <c r="F62" s="42"/>
      <c r="G62" s="18"/>
      <c r="H62" s="322"/>
      <c r="I62" s="32">
        <v>9.5</v>
      </c>
      <c r="J62" s="43">
        <v>3000</v>
      </c>
      <c r="K62" s="18">
        <f t="shared" si="1"/>
        <v>315.78947368421052</v>
      </c>
      <c r="L62" s="32">
        <v>9.5</v>
      </c>
      <c r="M62" s="19">
        <f>AVERAGE(M56:M61)</f>
        <v>2884.3886480321576</v>
      </c>
      <c r="N62" s="18">
        <f t="shared" si="3"/>
        <v>303.61985768759553</v>
      </c>
      <c r="O62" s="20">
        <f t="shared" si="4"/>
        <v>0</v>
      </c>
      <c r="P62" s="21">
        <f t="shared" si="5"/>
        <v>-12.169615996614993</v>
      </c>
      <c r="Q62" s="317">
        <f t="shared" si="6"/>
        <v>0.96146288267738589</v>
      </c>
      <c r="R62" s="573"/>
      <c r="S62" s="49"/>
      <c r="T62" s="49"/>
      <c r="U62" s="18"/>
      <c r="V62" s="321"/>
      <c r="W62" s="18"/>
      <c r="X62" s="18"/>
      <c r="Y62" s="33">
        <f>SUM(Y56:Y61)</f>
        <v>0</v>
      </c>
      <c r="Z62" s="33">
        <f>SUM(Z56:Z61)</f>
        <v>0</v>
      </c>
      <c r="AA62" s="572"/>
      <c r="AB62" s="572"/>
      <c r="AC62" s="33">
        <v>6</v>
      </c>
      <c r="AD62" s="33">
        <f>SUM(AD56:AD61)</f>
        <v>0</v>
      </c>
      <c r="AE62" s="20">
        <f t="shared" si="43"/>
        <v>-115.61135196784244</v>
      </c>
      <c r="AF62" s="317">
        <f t="shared" si="9"/>
        <v>0.96146288267738589</v>
      </c>
      <c r="AG62" s="573"/>
    </row>
    <row r="63" spans="1:33" ht="15.75" customHeight="1">
      <c r="A63" s="577" t="s">
        <v>1901</v>
      </c>
      <c r="B63" s="322" t="s">
        <v>94</v>
      </c>
      <c r="C63" s="574" t="s">
        <v>124</v>
      </c>
      <c r="D63" s="574"/>
      <c r="E63" s="39">
        <v>22.69</v>
      </c>
      <c r="F63" s="322">
        <v>3100</v>
      </c>
      <c r="G63" s="318">
        <f t="shared" ref="G63:G70" si="45">E63*F63</f>
        <v>70339</v>
      </c>
      <c r="H63" s="48">
        <v>2</v>
      </c>
      <c r="I63" s="320">
        <v>15</v>
      </c>
      <c r="J63" s="43">
        <v>2400</v>
      </c>
      <c r="K63" s="18">
        <f t="shared" si="1"/>
        <v>160</v>
      </c>
      <c r="L63" s="320">
        <v>15</v>
      </c>
      <c r="M63" s="19">
        <f t="shared" ref="M63:M70" si="46">F63/V63*60</f>
        <v>2296.2962962962965</v>
      </c>
      <c r="N63" s="18">
        <f t="shared" si="3"/>
        <v>153.08641975308643</v>
      </c>
      <c r="O63" s="20">
        <f t="shared" si="4"/>
        <v>0</v>
      </c>
      <c r="P63" s="21">
        <f t="shared" si="5"/>
        <v>-6.9135802469135683</v>
      </c>
      <c r="Q63" s="317">
        <f t="shared" si="6"/>
        <v>0.95679012345679015</v>
      </c>
      <c r="R63" s="573">
        <f>Q71</f>
        <v>0.95275528118054209</v>
      </c>
      <c r="S63" s="49">
        <v>8.3333333333333329E-2</v>
      </c>
      <c r="T63" s="49">
        <v>0.13958333333333334</v>
      </c>
      <c r="U63" s="30"/>
      <c r="V63" s="321">
        <f t="shared" ref="V63:V70" si="47">(T63-S63)*24*60</f>
        <v>81</v>
      </c>
      <c r="W63" s="25">
        <f>T63</f>
        <v>0.13958333333333334</v>
      </c>
      <c r="X63" s="25">
        <f>S64</f>
        <v>0.16041666666666668</v>
      </c>
      <c r="Y63" s="25"/>
      <c r="Z63" s="25"/>
      <c r="AA63" s="575"/>
      <c r="AB63" s="575"/>
      <c r="AC63" s="50">
        <v>8</v>
      </c>
      <c r="AD63" s="27"/>
      <c r="AE63" s="20">
        <f t="shared" si="43"/>
        <v>-103.70370370370347</v>
      </c>
      <c r="AF63" s="317">
        <f t="shared" si="9"/>
        <v>0.95679012345679026</v>
      </c>
      <c r="AG63" s="573">
        <f>AF71</f>
        <v>0.95275528118054198</v>
      </c>
    </row>
    <row r="64" spans="1:33" ht="15.75" customHeight="1">
      <c r="A64" s="578" t="s">
        <v>71</v>
      </c>
      <c r="B64" s="322" t="s">
        <v>94</v>
      </c>
      <c r="C64" s="574" t="s">
        <v>123</v>
      </c>
      <c r="D64" s="574"/>
      <c r="E64" s="39">
        <v>20.21</v>
      </c>
      <c r="F64" s="322">
        <v>3657</v>
      </c>
      <c r="G64" s="318">
        <f t="shared" si="45"/>
        <v>73907.97</v>
      </c>
      <c r="H64" s="48" t="s">
        <v>126</v>
      </c>
      <c r="I64" s="320">
        <v>15</v>
      </c>
      <c r="J64" s="43">
        <v>2400</v>
      </c>
      <c r="K64" s="18">
        <f t="shared" si="1"/>
        <v>160</v>
      </c>
      <c r="L64" s="320">
        <v>15</v>
      </c>
      <c r="M64" s="19">
        <f t="shared" si="46"/>
        <v>2285.6249999999995</v>
      </c>
      <c r="N64" s="18">
        <f t="shared" si="3"/>
        <v>152.37499999999997</v>
      </c>
      <c r="O64" s="20">
        <f t="shared" si="4"/>
        <v>0</v>
      </c>
      <c r="P64" s="21">
        <f t="shared" si="5"/>
        <v>-7.6250000000000284</v>
      </c>
      <c r="Q64" s="317">
        <f t="shared" si="6"/>
        <v>0.95234374999999982</v>
      </c>
      <c r="R64" s="573"/>
      <c r="S64" s="49">
        <v>0.16041666666666668</v>
      </c>
      <c r="T64" s="49">
        <v>0.22708333333333336</v>
      </c>
      <c r="U64" s="318">
        <f t="shared" ref="U64:U70" si="48">(S64-T63)*24*60</f>
        <v>30.000000000000014</v>
      </c>
      <c r="V64" s="321">
        <f t="shared" si="47"/>
        <v>96.000000000000014</v>
      </c>
      <c r="W64" s="25"/>
      <c r="X64" s="25"/>
      <c r="Y64" s="25"/>
      <c r="Z64" s="25"/>
      <c r="AA64" s="575"/>
      <c r="AB64" s="575"/>
      <c r="AC64" s="50"/>
      <c r="AD64" s="27"/>
      <c r="AE64" s="20">
        <f t="shared" si="43"/>
        <v>-114.37500000000045</v>
      </c>
      <c r="AF64" s="317">
        <f t="shared" si="9"/>
        <v>0.95234374999999982</v>
      </c>
      <c r="AG64" s="573"/>
    </row>
    <row r="65" spans="1:33" ht="15.75" customHeight="1">
      <c r="A65" s="578" t="s">
        <v>71</v>
      </c>
      <c r="B65" s="322" t="s">
        <v>94</v>
      </c>
      <c r="C65" s="574" t="s">
        <v>125</v>
      </c>
      <c r="D65" s="574"/>
      <c r="E65" s="39">
        <v>19.02</v>
      </c>
      <c r="F65" s="322">
        <v>6200</v>
      </c>
      <c r="G65" s="318">
        <f t="shared" si="45"/>
        <v>117924</v>
      </c>
      <c r="H65" s="48">
        <v>2</v>
      </c>
      <c r="I65" s="320">
        <v>14</v>
      </c>
      <c r="J65" s="43">
        <v>2400</v>
      </c>
      <c r="K65" s="18">
        <f t="shared" si="1"/>
        <v>171.42857142857142</v>
      </c>
      <c r="L65" s="320">
        <v>14</v>
      </c>
      <c r="M65" s="19">
        <f t="shared" si="46"/>
        <v>2282.2085889570549</v>
      </c>
      <c r="N65" s="18">
        <f t="shared" si="3"/>
        <v>163.01489921121819</v>
      </c>
      <c r="O65" s="20">
        <f t="shared" si="4"/>
        <v>0</v>
      </c>
      <c r="P65" s="21">
        <f t="shared" si="5"/>
        <v>-8.4136722173532235</v>
      </c>
      <c r="Q65" s="317">
        <f t="shared" si="6"/>
        <v>0.95092024539877285</v>
      </c>
      <c r="R65" s="573"/>
      <c r="S65" s="49">
        <v>0.23125000000000004</v>
      </c>
      <c r="T65" s="49">
        <v>0.3444444444444445</v>
      </c>
      <c r="U65" s="318">
        <f t="shared" si="48"/>
        <v>6.0000000000000187</v>
      </c>
      <c r="V65" s="321">
        <f t="shared" si="47"/>
        <v>163</v>
      </c>
      <c r="W65" s="25"/>
      <c r="X65" s="25"/>
      <c r="Y65" s="25"/>
      <c r="Z65" s="25"/>
      <c r="AA65" s="575"/>
      <c r="AB65" s="575"/>
      <c r="AC65" s="50"/>
      <c r="AD65" s="27"/>
      <c r="AE65" s="20">
        <f t="shared" si="43"/>
        <v>-117.79141104294513</v>
      </c>
      <c r="AF65" s="317">
        <f t="shared" si="9"/>
        <v>0.95092024539877285</v>
      </c>
      <c r="AG65" s="573"/>
    </row>
    <row r="66" spans="1:33" ht="15.75" customHeight="1">
      <c r="A66" s="578" t="s">
        <v>71</v>
      </c>
      <c r="B66" s="322" t="s">
        <v>94</v>
      </c>
      <c r="C66" s="574" t="s">
        <v>99</v>
      </c>
      <c r="D66" s="574"/>
      <c r="E66" s="39">
        <v>20.36</v>
      </c>
      <c r="F66" s="322">
        <v>3200</v>
      </c>
      <c r="G66" s="318">
        <f t="shared" si="45"/>
        <v>65152</v>
      </c>
      <c r="H66" s="48">
        <v>2</v>
      </c>
      <c r="I66" s="320">
        <v>17</v>
      </c>
      <c r="J66" s="43">
        <v>2400</v>
      </c>
      <c r="K66" s="18">
        <f t="shared" si="1"/>
        <v>141.1764705882353</v>
      </c>
      <c r="L66" s="320">
        <v>17</v>
      </c>
      <c r="M66" s="19">
        <f t="shared" si="46"/>
        <v>2285.7142857142849</v>
      </c>
      <c r="N66" s="18">
        <f t="shared" si="3"/>
        <v>134.45378151260499</v>
      </c>
      <c r="O66" s="20">
        <f t="shared" si="4"/>
        <v>0</v>
      </c>
      <c r="P66" s="21">
        <f t="shared" si="5"/>
        <v>-6.7226890756303135</v>
      </c>
      <c r="Q66" s="317">
        <f t="shared" si="6"/>
        <v>0.952380952380952</v>
      </c>
      <c r="R66" s="573"/>
      <c r="S66" s="49">
        <v>0.35000000000000003</v>
      </c>
      <c r="T66" s="49">
        <v>0.40833333333333338</v>
      </c>
      <c r="U66" s="318">
        <f t="shared" si="48"/>
        <v>7.9999999999999716</v>
      </c>
      <c r="V66" s="321">
        <f t="shared" si="47"/>
        <v>84.000000000000028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-114.28571428571513</v>
      </c>
      <c r="AF66" s="317">
        <f t="shared" si="9"/>
        <v>0.952380952380952</v>
      </c>
      <c r="AG66" s="573"/>
    </row>
    <row r="67" spans="1:33" ht="15.75" customHeight="1">
      <c r="A67" s="578" t="s">
        <v>1126</v>
      </c>
      <c r="B67" s="322" t="s">
        <v>94</v>
      </c>
      <c r="C67" s="574" t="s">
        <v>1231</v>
      </c>
      <c r="D67" s="574"/>
      <c r="E67" s="39">
        <v>25.99</v>
      </c>
      <c r="F67" s="322">
        <v>4266</v>
      </c>
      <c r="G67" s="318">
        <f t="shared" si="45"/>
        <v>110873.34</v>
      </c>
      <c r="H67" s="48" t="s">
        <v>126</v>
      </c>
      <c r="I67" s="320">
        <v>19</v>
      </c>
      <c r="J67" s="43">
        <v>2400</v>
      </c>
      <c r="K67" s="18">
        <f t="shared" si="1"/>
        <v>126.31578947368421</v>
      </c>
      <c r="L67" s="320">
        <v>19</v>
      </c>
      <c r="M67" s="19">
        <f t="shared" si="46"/>
        <v>2285.3571428571431</v>
      </c>
      <c r="N67" s="18">
        <f t="shared" si="3"/>
        <v>120.28195488721806</v>
      </c>
      <c r="O67" s="20">
        <f t="shared" si="4"/>
        <v>0</v>
      </c>
      <c r="P67" s="21">
        <f t="shared" si="5"/>
        <v>-6.033834586466142</v>
      </c>
      <c r="Q67" s="317">
        <f t="shared" si="6"/>
        <v>0.95223214285714308</v>
      </c>
      <c r="R67" s="573"/>
      <c r="S67" s="49">
        <v>0.41250000000000003</v>
      </c>
      <c r="T67" s="49">
        <v>0.49027777777777781</v>
      </c>
      <c r="U67" s="318">
        <f t="shared" si="48"/>
        <v>5.9999999999999787</v>
      </c>
      <c r="V67" s="321">
        <f t="shared" si="47"/>
        <v>112</v>
      </c>
      <c r="W67" s="25">
        <f>T67</f>
        <v>0.49027777777777781</v>
      </c>
      <c r="X67" s="25">
        <f>S68</f>
        <v>0.53263888888888888</v>
      </c>
      <c r="Y67" s="25"/>
      <c r="Z67" s="25"/>
      <c r="AA67" s="575"/>
      <c r="AB67" s="575"/>
      <c r="AC67" s="50"/>
      <c r="AD67" s="27"/>
      <c r="AE67" s="20">
        <f t="shared" si="43"/>
        <v>-114.64285714285688</v>
      </c>
      <c r="AF67" s="317">
        <f t="shared" si="9"/>
        <v>0.95223214285714297</v>
      </c>
      <c r="AG67" s="573"/>
    </row>
    <row r="68" spans="1:33" ht="15.75" customHeight="1">
      <c r="A68" s="578" t="s">
        <v>71</v>
      </c>
      <c r="B68" s="322" t="s">
        <v>94</v>
      </c>
      <c r="C68" s="574" t="s">
        <v>125</v>
      </c>
      <c r="D68" s="574"/>
      <c r="E68" s="39">
        <v>19.02</v>
      </c>
      <c r="F68" s="322">
        <v>4877</v>
      </c>
      <c r="G68" s="318">
        <f t="shared" si="45"/>
        <v>92760.54</v>
      </c>
      <c r="H68" s="48" t="s">
        <v>126</v>
      </c>
      <c r="I68" s="320">
        <v>14</v>
      </c>
      <c r="J68" s="43">
        <v>2400</v>
      </c>
      <c r="K68" s="18">
        <f t="shared" si="1"/>
        <v>171.42857142857142</v>
      </c>
      <c r="L68" s="320">
        <v>14</v>
      </c>
      <c r="M68" s="19">
        <f t="shared" si="46"/>
        <v>2286.0937499999995</v>
      </c>
      <c r="N68" s="18">
        <f t="shared" si="3"/>
        <v>163.29241071428569</v>
      </c>
      <c r="O68" s="20">
        <f t="shared" si="4"/>
        <v>0</v>
      </c>
      <c r="P68" s="21">
        <f t="shared" si="5"/>
        <v>-8.1361607142857224</v>
      </c>
      <c r="Q68" s="317">
        <f t="shared" si="6"/>
        <v>0.95253906249999998</v>
      </c>
      <c r="R68" s="573"/>
      <c r="S68" s="49">
        <v>0.53263888888888888</v>
      </c>
      <c r="T68" s="49">
        <v>0.62152777777777779</v>
      </c>
      <c r="U68" s="318">
        <f t="shared" si="48"/>
        <v>60.999999999999943</v>
      </c>
      <c r="V68" s="321">
        <f t="shared" si="47"/>
        <v>128.00000000000003</v>
      </c>
      <c r="W68" s="25"/>
      <c r="X68" s="25"/>
      <c r="Y68" s="25"/>
      <c r="Z68" s="25"/>
      <c r="AA68" s="575"/>
      <c r="AB68" s="575"/>
      <c r="AC68" s="50"/>
      <c r="AD68" s="27"/>
      <c r="AE68" s="20">
        <f t="shared" si="43"/>
        <v>-113.90625000000045</v>
      </c>
      <c r="AF68" s="317">
        <f t="shared" si="9"/>
        <v>0.95253906249999976</v>
      </c>
      <c r="AG68" s="573"/>
    </row>
    <row r="69" spans="1:33" ht="15.75" customHeight="1">
      <c r="A69" s="578" t="s">
        <v>1902</v>
      </c>
      <c r="B69" s="322" t="s">
        <v>94</v>
      </c>
      <c r="C69" s="566" t="s">
        <v>99</v>
      </c>
      <c r="D69" s="567"/>
      <c r="E69" s="39">
        <v>20.36</v>
      </c>
      <c r="F69" s="322">
        <v>2588</v>
      </c>
      <c r="G69" s="318">
        <f t="shared" si="45"/>
        <v>52691.68</v>
      </c>
      <c r="H69" s="48" t="s">
        <v>126</v>
      </c>
      <c r="I69" s="320">
        <v>17</v>
      </c>
      <c r="J69" s="43">
        <v>2400</v>
      </c>
      <c r="K69" s="18">
        <f t="shared" ref="K69:K71" si="49">J69/I69</f>
        <v>141.1764705882353</v>
      </c>
      <c r="L69" s="320">
        <v>17</v>
      </c>
      <c r="M69" s="19">
        <f t="shared" si="46"/>
        <v>2283.5294117647031</v>
      </c>
      <c r="N69" s="18">
        <f t="shared" ref="N69:N71" si="50">M69/L69</f>
        <v>134.32525951557076</v>
      </c>
      <c r="O69" s="20">
        <f t="shared" ref="O69:O71" si="51">L69-I69</f>
        <v>0</v>
      </c>
      <c r="P69" s="21">
        <f t="shared" ref="P69:P71" si="52">N69-K69</f>
        <v>-6.8512110726645403</v>
      </c>
      <c r="Q69" s="317">
        <f t="shared" ref="Q69:Q71" si="53">N69/K69</f>
        <v>0.95147058823529285</v>
      </c>
      <c r="R69" s="573"/>
      <c r="S69" s="49">
        <v>0.62638888888888888</v>
      </c>
      <c r="T69" s="49">
        <v>0.67361111111111116</v>
      </c>
      <c r="U69" s="318">
        <f t="shared" si="48"/>
        <v>6.9999999999999751</v>
      </c>
      <c r="V69" s="321">
        <f t="shared" si="47"/>
        <v>68.000000000000085</v>
      </c>
      <c r="W69" s="25"/>
      <c r="X69" s="25"/>
      <c r="Y69" s="28"/>
      <c r="Z69" s="28"/>
      <c r="AA69" s="568"/>
      <c r="AB69" s="569"/>
      <c r="AC69" s="50"/>
      <c r="AD69" s="27"/>
      <c r="AE69" s="20">
        <f t="shared" si="43"/>
        <v>-116.47058823529687</v>
      </c>
      <c r="AF69" s="317">
        <f t="shared" ref="AF69:AF71" si="54">M69/J69</f>
        <v>0.95147058823529296</v>
      </c>
      <c r="AG69" s="573"/>
    </row>
    <row r="70" spans="1:33" ht="15.75" customHeight="1">
      <c r="A70" s="578" t="s">
        <v>71</v>
      </c>
      <c r="B70" s="322" t="s">
        <v>94</v>
      </c>
      <c r="C70" s="566" t="s">
        <v>124</v>
      </c>
      <c r="D70" s="567"/>
      <c r="E70" s="39">
        <v>22.69</v>
      </c>
      <c r="F70" s="322">
        <v>1983</v>
      </c>
      <c r="G70" s="318">
        <f t="shared" si="45"/>
        <v>44994.270000000004</v>
      </c>
      <c r="H70" s="48" t="s">
        <v>126</v>
      </c>
      <c r="I70" s="320">
        <v>15</v>
      </c>
      <c r="J70" s="43">
        <v>2400</v>
      </c>
      <c r="K70" s="18">
        <f t="shared" si="49"/>
        <v>160</v>
      </c>
      <c r="L70" s="320">
        <v>15</v>
      </c>
      <c r="M70" s="19">
        <f t="shared" si="46"/>
        <v>2288.0769230769247</v>
      </c>
      <c r="N70" s="18">
        <f t="shared" si="50"/>
        <v>152.53846153846163</v>
      </c>
      <c r="O70" s="20">
        <f t="shared" si="51"/>
        <v>0</v>
      </c>
      <c r="P70" s="21">
        <f t="shared" si="52"/>
        <v>-7.4615384615383675</v>
      </c>
      <c r="Q70" s="317">
        <f t="shared" si="53"/>
        <v>0.95336538461538523</v>
      </c>
      <c r="R70" s="573"/>
      <c r="S70" s="49">
        <v>0.67708333333333337</v>
      </c>
      <c r="T70" s="49">
        <v>0.71319444444444446</v>
      </c>
      <c r="U70" s="318">
        <f t="shared" si="48"/>
        <v>4.9999999999999822</v>
      </c>
      <c r="V70" s="321">
        <f t="shared" si="47"/>
        <v>51.999999999999972</v>
      </c>
      <c r="W70" s="25"/>
      <c r="X70" s="25"/>
      <c r="Y70" s="28"/>
      <c r="Z70" s="28"/>
      <c r="AA70" s="568"/>
      <c r="AB70" s="569"/>
      <c r="AC70" s="50"/>
      <c r="AD70" s="27"/>
      <c r="AE70" s="20">
        <f t="shared" si="43"/>
        <v>-111.92307692307531</v>
      </c>
      <c r="AF70" s="317">
        <f t="shared" si="54"/>
        <v>0.95336538461538534</v>
      </c>
      <c r="AG70" s="573"/>
    </row>
    <row r="71" spans="1:33" ht="16.5" customHeight="1">
      <c r="A71" s="579" t="s">
        <v>71</v>
      </c>
      <c r="B71" s="39" t="s">
        <v>70</v>
      </c>
      <c r="C71" s="570"/>
      <c r="D71" s="571"/>
      <c r="E71" s="319"/>
      <c r="F71" s="42"/>
      <c r="G71" s="18"/>
      <c r="H71" s="322"/>
      <c r="I71" s="32">
        <v>15.75</v>
      </c>
      <c r="J71" s="43">
        <v>2400</v>
      </c>
      <c r="K71" s="18">
        <f t="shared" si="49"/>
        <v>152.38095238095238</v>
      </c>
      <c r="L71" s="32">
        <v>15.75</v>
      </c>
      <c r="M71" s="19">
        <f>AVERAGE(M63:M70)</f>
        <v>2286.6126748333008</v>
      </c>
      <c r="N71" s="18">
        <f t="shared" si="50"/>
        <v>145.18175713227308</v>
      </c>
      <c r="O71" s="20">
        <f t="shared" si="51"/>
        <v>0</v>
      </c>
      <c r="P71" s="21">
        <f t="shared" si="52"/>
        <v>-7.1991952486793025</v>
      </c>
      <c r="Q71" s="317">
        <f t="shared" si="53"/>
        <v>0.95275528118054209</v>
      </c>
      <c r="R71" s="573"/>
      <c r="S71" s="49"/>
      <c r="T71" s="49"/>
      <c r="U71" s="18"/>
      <c r="V71" s="321"/>
      <c r="W71" s="18"/>
      <c r="X71" s="18"/>
      <c r="Y71" s="33">
        <f>SUM(Y63:Y70)</f>
        <v>0</v>
      </c>
      <c r="Z71" s="33">
        <f>SUM(Z63:Z70)</f>
        <v>0</v>
      </c>
      <c r="AA71" s="572"/>
      <c r="AB71" s="572"/>
      <c r="AC71" s="33">
        <v>8</v>
      </c>
      <c r="AD71" s="33">
        <f>SUM(AD63:AD70)</f>
        <v>0</v>
      </c>
      <c r="AE71" s="20">
        <f t="shared" si="43"/>
        <v>-113.38732516669916</v>
      </c>
      <c r="AF71" s="317">
        <f t="shared" si="54"/>
        <v>0.95275528118054198</v>
      </c>
      <c r="AG71" s="573"/>
    </row>
    <row r="72" spans="1:33">
      <c r="D72" s="35"/>
      <c r="E72" s="35"/>
    </row>
  </sheetData>
  <mergeCells count="193">
    <mergeCell ref="S1:X2"/>
    <mergeCell ref="AA1:AB2"/>
    <mergeCell ref="AE1:AG2"/>
    <mergeCell ref="R3:R4"/>
    <mergeCell ref="S3:T3"/>
    <mergeCell ref="H3:H4"/>
    <mergeCell ref="I3:I4"/>
    <mergeCell ref="J3:J4"/>
    <mergeCell ref="K3:K4"/>
    <mergeCell ref="L3:L4"/>
    <mergeCell ref="M3:M4"/>
    <mergeCell ref="AE3:AE4"/>
    <mergeCell ref="AF3:AF4"/>
    <mergeCell ref="AG3:AG4"/>
    <mergeCell ref="A9:A12"/>
    <mergeCell ref="C9:D9"/>
    <mergeCell ref="R9:R12"/>
    <mergeCell ref="C11:D11"/>
    <mergeCell ref="I1:K2"/>
    <mergeCell ref="L1:N2"/>
    <mergeCell ref="O1:R2"/>
    <mergeCell ref="A5:A8"/>
    <mergeCell ref="C5:D5"/>
    <mergeCell ref="R5:R8"/>
    <mergeCell ref="A3:A4"/>
    <mergeCell ref="B3:B4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C3:D4"/>
    <mergeCell ref="E3:E4"/>
    <mergeCell ref="F3:F4"/>
    <mergeCell ref="G3:G4"/>
    <mergeCell ref="AA11:AB11"/>
    <mergeCell ref="C12:D12"/>
    <mergeCell ref="AA12:AB12"/>
    <mergeCell ref="C7:D7"/>
    <mergeCell ref="AA7:AB7"/>
    <mergeCell ref="C8:D8"/>
    <mergeCell ref="AA8:AB8"/>
    <mergeCell ref="AG17:AG23"/>
    <mergeCell ref="C18:D18"/>
    <mergeCell ref="AA18:AB18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AA9:AB9"/>
    <mergeCell ref="AG9:AG12"/>
    <mergeCell ref="C10:D10"/>
    <mergeCell ref="AA10:AB10"/>
    <mergeCell ref="A13:A16"/>
    <mergeCell ref="C13:D13"/>
    <mergeCell ref="R13:R16"/>
    <mergeCell ref="AA13:AB13"/>
    <mergeCell ref="AG13:AG16"/>
    <mergeCell ref="C14:D14"/>
    <mergeCell ref="AA14:AB14"/>
    <mergeCell ref="C15:D15"/>
    <mergeCell ref="AA15:AB15"/>
    <mergeCell ref="C16:D16"/>
    <mergeCell ref="AA16:AB16"/>
    <mergeCell ref="A17:A23"/>
    <mergeCell ref="C17:D17"/>
    <mergeCell ref="R17:R23"/>
    <mergeCell ref="AA17:AB17"/>
    <mergeCell ref="C23:D23"/>
    <mergeCell ref="AA23:AB23"/>
    <mergeCell ref="A24:A31"/>
    <mergeCell ref="C24:D24"/>
    <mergeCell ref="R24:R31"/>
    <mergeCell ref="AA24:AB24"/>
    <mergeCell ref="AA29:AB29"/>
    <mergeCell ref="C30:D30"/>
    <mergeCell ref="AA30:AB30"/>
    <mergeCell ref="C31:D31"/>
    <mergeCell ref="AA35:AB35"/>
    <mergeCell ref="C36:D36"/>
    <mergeCell ref="AA36:AB36"/>
    <mergeCell ref="C37:D37"/>
    <mergeCell ref="AA37:AB37"/>
    <mergeCell ref="AG24:AG31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AA31:AB31"/>
    <mergeCell ref="C53:D53"/>
    <mergeCell ref="AA53:AB53"/>
    <mergeCell ref="A41:A45"/>
    <mergeCell ref="C41:D41"/>
    <mergeCell ref="R41:R45"/>
    <mergeCell ref="AA41:AB41"/>
    <mergeCell ref="AA34:AB34"/>
    <mergeCell ref="AG41:AG45"/>
    <mergeCell ref="C42:D42"/>
    <mergeCell ref="AA42:AB42"/>
    <mergeCell ref="C43:D43"/>
    <mergeCell ref="AA43:AB43"/>
    <mergeCell ref="C44:D44"/>
    <mergeCell ref="C38:D38"/>
    <mergeCell ref="AA38:AB38"/>
    <mergeCell ref="C39:D39"/>
    <mergeCell ref="AA39:AB39"/>
    <mergeCell ref="C40:D40"/>
    <mergeCell ref="AA40:AB40"/>
    <mergeCell ref="AG32:AG40"/>
    <mergeCell ref="AA44:AB44"/>
    <mergeCell ref="C45:D45"/>
    <mergeCell ref="AA45:AB45"/>
    <mergeCell ref="C35:D35"/>
    <mergeCell ref="A32:A40"/>
    <mergeCell ref="C32:D32"/>
    <mergeCell ref="R32:R40"/>
    <mergeCell ref="AA32:AB32"/>
    <mergeCell ref="C33:D33"/>
    <mergeCell ref="AA33:AB33"/>
    <mergeCell ref="C34:D34"/>
    <mergeCell ref="AG46:AG55"/>
    <mergeCell ref="C47:D47"/>
    <mergeCell ref="AA47:AB47"/>
    <mergeCell ref="C48:D48"/>
    <mergeCell ref="AA48:AB48"/>
    <mergeCell ref="AA49:AB49"/>
    <mergeCell ref="AA50:AB50"/>
    <mergeCell ref="C51:D51"/>
    <mergeCell ref="AA51:AB51"/>
    <mergeCell ref="C52:D52"/>
    <mergeCell ref="C55:D55"/>
    <mergeCell ref="AA55:AB55"/>
    <mergeCell ref="A46:A55"/>
    <mergeCell ref="C46:D46"/>
    <mergeCell ref="R46:R55"/>
    <mergeCell ref="AA46:AB46"/>
    <mergeCell ref="AA52:AB52"/>
    <mergeCell ref="A56:A62"/>
    <mergeCell ref="C56:D56"/>
    <mergeCell ref="R56:R62"/>
    <mergeCell ref="AA56:AB56"/>
    <mergeCell ref="AA61:AB61"/>
    <mergeCell ref="C62:D62"/>
    <mergeCell ref="AA62:AB62"/>
    <mergeCell ref="AG56:AG62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63:A71"/>
    <mergeCell ref="C63:D63"/>
    <mergeCell ref="R63:R71"/>
    <mergeCell ref="AA63:AB63"/>
    <mergeCell ref="AG63:AG71"/>
    <mergeCell ref="C64:D64"/>
    <mergeCell ref="AA64:AB64"/>
    <mergeCell ref="C65:D65"/>
    <mergeCell ref="AA65:AB65"/>
    <mergeCell ref="C66:D66"/>
    <mergeCell ref="C70:D70"/>
    <mergeCell ref="AA70:AB70"/>
    <mergeCell ref="C71:D71"/>
    <mergeCell ref="AA71:AB71"/>
    <mergeCell ref="AA66:AB66"/>
    <mergeCell ref="C67:D67"/>
    <mergeCell ref="AA67:AB67"/>
    <mergeCell ref="C68:D68"/>
    <mergeCell ref="AA68:AB68"/>
    <mergeCell ref="C69:D69"/>
    <mergeCell ref="AA69:AB69"/>
  </mergeCells>
  <phoneticPr fontId="3" type="noConversion"/>
  <conditionalFormatting sqref="O59:O68 O55:O56 O71 O5:O9 O12:O14 O16:O51">
    <cfRule type="cellIs" dxfId="1055" priority="56" operator="greaterThan">
      <formula>0</formula>
    </cfRule>
  </conditionalFormatting>
  <conditionalFormatting sqref="P5:P7 P59:P61 AE59:AE61 P63:P68 P24:P30 P56 P9 P46:P51 P17:P22 P32:P44 AE63:AE71 P12:P14 AE5:AE56">
    <cfRule type="cellIs" dxfId="1054" priority="60" operator="lessThan">
      <formula>0</formula>
    </cfRule>
  </conditionalFormatting>
  <conditionalFormatting sqref="AF59:AF61 Q59:Q68 Q55:Q56 Q71 Q5:Q9 AF63:AF71 Q12:Q14 Q16:Q51 AF5:AF56">
    <cfRule type="cellIs" dxfId="1053" priority="57" operator="greaterThan">
      <formula>1</formula>
    </cfRule>
    <cfRule type="cellIs" dxfId="1052" priority="58" operator="lessThan">
      <formula>0.8</formula>
    </cfRule>
  </conditionalFormatting>
  <conditionalFormatting sqref="AG13:AG14 R13:R14 AG59 R59:R68 AG55:AG56 R55:R56 R71 AG5:AG9 R5:R9 R16:R51 AG16:AG51">
    <cfRule type="cellIs" dxfId="1051" priority="62" operator="lessThan">
      <formula>0.8</formula>
    </cfRule>
  </conditionalFormatting>
  <conditionalFormatting sqref="AG41">
    <cfRule type="cellIs" dxfId="1050" priority="64" operator="lessThan">
      <formula>0.8</formula>
    </cfRule>
  </conditionalFormatting>
  <conditionalFormatting sqref="AG17:AG22">
    <cfRule type="cellIs" dxfId="1049" priority="61" operator="lessThan">
      <formula>0.8</formula>
    </cfRule>
  </conditionalFormatting>
  <conditionalFormatting sqref="AG24">
    <cfRule type="cellIs" dxfId="1048" priority="63" operator="lessThan">
      <formula>0.8</formula>
    </cfRule>
  </conditionalFormatting>
  <conditionalFormatting sqref="AG32:AG39">
    <cfRule type="cellIs" dxfId="1047" priority="59" operator="lessThan">
      <formula>0.8</formula>
    </cfRule>
  </conditionalFormatting>
  <conditionalFormatting sqref="AE62">
    <cfRule type="cellIs" dxfId="1046" priority="55" operator="lessThan">
      <formula>0</formula>
    </cfRule>
  </conditionalFormatting>
  <conditionalFormatting sqref="AF62">
    <cfRule type="cellIs" dxfId="1045" priority="53" operator="greaterThan">
      <formula>1</formula>
    </cfRule>
    <cfRule type="cellIs" dxfId="1044" priority="54" operator="lessThan">
      <formula>0.8</formula>
    </cfRule>
  </conditionalFormatting>
  <conditionalFormatting sqref="O15">
    <cfRule type="cellIs" dxfId="1043" priority="48" operator="greaterThan">
      <formula>0</formula>
    </cfRule>
  </conditionalFormatting>
  <conditionalFormatting sqref="P15">
    <cfRule type="cellIs" dxfId="1042" priority="51" operator="lessThan">
      <formula>0</formula>
    </cfRule>
  </conditionalFormatting>
  <conditionalFormatting sqref="Q15">
    <cfRule type="cellIs" dxfId="1041" priority="49" operator="greaterThan">
      <formula>1</formula>
    </cfRule>
    <cfRule type="cellIs" dxfId="1040" priority="50" operator="lessThan">
      <formula>0.8</formula>
    </cfRule>
  </conditionalFormatting>
  <conditionalFormatting sqref="R15 AG15">
    <cfRule type="cellIs" dxfId="1039" priority="52" operator="lessThan">
      <formula>0.8</formula>
    </cfRule>
  </conditionalFormatting>
  <conditionalFormatting sqref="O10:O11">
    <cfRule type="cellIs" dxfId="1038" priority="44" operator="greaterThan">
      <formula>0</formula>
    </cfRule>
  </conditionalFormatting>
  <conditionalFormatting sqref="P10:P11">
    <cfRule type="cellIs" dxfId="1037" priority="47" operator="lessThan">
      <formula>0</formula>
    </cfRule>
  </conditionalFormatting>
  <conditionalFormatting sqref="Q10:Q11">
    <cfRule type="cellIs" dxfId="1036" priority="45" operator="greaterThan">
      <formula>1</formula>
    </cfRule>
    <cfRule type="cellIs" dxfId="1035" priority="46" operator="lessThan">
      <formula>0.8</formula>
    </cfRule>
  </conditionalFormatting>
  <conditionalFormatting sqref="O52">
    <cfRule type="cellIs" dxfId="1034" priority="39" operator="greaterThan">
      <formula>0</formula>
    </cfRule>
  </conditionalFormatting>
  <conditionalFormatting sqref="P52">
    <cfRule type="cellIs" dxfId="1033" priority="42" operator="lessThan">
      <formula>0</formula>
    </cfRule>
  </conditionalFormatting>
  <conditionalFormatting sqref="Q52">
    <cfRule type="cellIs" dxfId="1032" priority="40" operator="greaterThan">
      <formula>1</formula>
    </cfRule>
    <cfRule type="cellIs" dxfId="1031" priority="41" operator="lessThan">
      <formula>0.8</formula>
    </cfRule>
  </conditionalFormatting>
  <conditionalFormatting sqref="R52 AG52">
    <cfRule type="cellIs" dxfId="1030" priority="43" operator="lessThan">
      <formula>0.8</formula>
    </cfRule>
  </conditionalFormatting>
  <conditionalFormatting sqref="O58">
    <cfRule type="cellIs" dxfId="1029" priority="34" operator="greaterThan">
      <formula>0</formula>
    </cfRule>
  </conditionalFormatting>
  <conditionalFormatting sqref="P58 AE58">
    <cfRule type="cellIs" dxfId="1028" priority="37" operator="lessThan">
      <formula>0</formula>
    </cfRule>
  </conditionalFormatting>
  <conditionalFormatting sqref="Q58 AF58">
    <cfRule type="cellIs" dxfId="1027" priority="35" operator="greaterThan">
      <formula>1</formula>
    </cfRule>
    <cfRule type="cellIs" dxfId="1026" priority="36" operator="lessThan">
      <formula>0.8</formula>
    </cfRule>
  </conditionalFormatting>
  <conditionalFormatting sqref="R58 AG58">
    <cfRule type="cellIs" dxfId="1025" priority="38" operator="lessThan">
      <formula>0.8</formula>
    </cfRule>
  </conditionalFormatting>
  <conditionalFormatting sqref="O69">
    <cfRule type="cellIs" dxfId="1024" priority="29" operator="greaterThan">
      <formula>0</formula>
    </cfRule>
  </conditionalFormatting>
  <conditionalFormatting sqref="P69">
    <cfRule type="cellIs" dxfId="1023" priority="32" operator="lessThan">
      <formula>0</formula>
    </cfRule>
  </conditionalFormatting>
  <conditionalFormatting sqref="Q69">
    <cfRule type="cellIs" dxfId="1022" priority="30" operator="greaterThan">
      <formula>1</formula>
    </cfRule>
    <cfRule type="cellIs" dxfId="1021" priority="31" operator="lessThan">
      <formula>0.8</formula>
    </cfRule>
  </conditionalFormatting>
  <conditionalFormatting sqref="R69">
    <cfRule type="cellIs" dxfId="1020" priority="33" operator="lessThan">
      <formula>0.8</formula>
    </cfRule>
  </conditionalFormatting>
  <conditionalFormatting sqref="O53">
    <cfRule type="cellIs" dxfId="1019" priority="24" operator="greaterThan">
      <formula>0</formula>
    </cfRule>
  </conditionalFormatting>
  <conditionalFormatting sqref="P53">
    <cfRule type="cellIs" dxfId="1018" priority="27" operator="lessThan">
      <formula>0</formula>
    </cfRule>
  </conditionalFormatting>
  <conditionalFormatting sqref="Q53">
    <cfRule type="cellIs" dxfId="1017" priority="25" operator="greaterThan">
      <formula>1</formula>
    </cfRule>
    <cfRule type="cellIs" dxfId="1016" priority="26" operator="lessThan">
      <formula>0.8</formula>
    </cfRule>
  </conditionalFormatting>
  <conditionalFormatting sqref="AG53 R53">
    <cfRule type="cellIs" dxfId="1015" priority="28" operator="lessThan">
      <formula>0.8</formula>
    </cfRule>
  </conditionalFormatting>
  <conditionalFormatting sqref="O57">
    <cfRule type="cellIs" dxfId="1014" priority="19" operator="greaterThan">
      <formula>0</formula>
    </cfRule>
  </conditionalFormatting>
  <conditionalFormatting sqref="P57 AE57">
    <cfRule type="cellIs" dxfId="1013" priority="22" operator="lessThan">
      <formula>0</formula>
    </cfRule>
  </conditionalFormatting>
  <conditionalFormatting sqref="Q57 AF57">
    <cfRule type="cellIs" dxfId="1012" priority="20" operator="greaterThan">
      <formula>1</formula>
    </cfRule>
    <cfRule type="cellIs" dxfId="1011" priority="21" operator="lessThan">
      <formula>0.8</formula>
    </cfRule>
  </conditionalFormatting>
  <conditionalFormatting sqref="R57 AG57">
    <cfRule type="cellIs" dxfId="1010" priority="23" operator="lessThan">
      <formula>0.8</formula>
    </cfRule>
  </conditionalFormatting>
  <conditionalFormatting sqref="P8">
    <cfRule type="cellIs" dxfId="1009" priority="18" operator="lessThan">
      <formula>0</formula>
    </cfRule>
  </conditionalFormatting>
  <conditionalFormatting sqref="P16">
    <cfRule type="cellIs" dxfId="1008" priority="17" operator="lessThan">
      <formula>0</formula>
    </cfRule>
  </conditionalFormatting>
  <conditionalFormatting sqref="P23">
    <cfRule type="cellIs" dxfId="1007" priority="16" operator="lessThan">
      <formula>0</formula>
    </cfRule>
  </conditionalFormatting>
  <conditionalFormatting sqref="P31">
    <cfRule type="cellIs" dxfId="1006" priority="15" operator="lessThan">
      <formula>0</formula>
    </cfRule>
  </conditionalFormatting>
  <conditionalFormatting sqref="P45">
    <cfRule type="cellIs" dxfId="1005" priority="14" operator="lessThan">
      <formula>0</formula>
    </cfRule>
  </conditionalFormatting>
  <conditionalFormatting sqref="P55">
    <cfRule type="cellIs" dxfId="1004" priority="13" operator="lessThan">
      <formula>0</formula>
    </cfRule>
  </conditionalFormatting>
  <conditionalFormatting sqref="P62">
    <cfRule type="cellIs" dxfId="1003" priority="12" operator="lessThan">
      <formula>0</formula>
    </cfRule>
  </conditionalFormatting>
  <conditionalFormatting sqref="P71">
    <cfRule type="cellIs" dxfId="1002" priority="11" operator="lessThan">
      <formula>0</formula>
    </cfRule>
  </conditionalFormatting>
  <conditionalFormatting sqref="O70">
    <cfRule type="cellIs" dxfId="1001" priority="6" operator="greaterThan">
      <formula>0</formula>
    </cfRule>
  </conditionalFormatting>
  <conditionalFormatting sqref="P70">
    <cfRule type="cellIs" dxfId="1000" priority="9" operator="lessThan">
      <formula>0</formula>
    </cfRule>
  </conditionalFormatting>
  <conditionalFormatting sqref="Q70">
    <cfRule type="cellIs" dxfId="999" priority="7" operator="greaterThan">
      <formula>1</formula>
    </cfRule>
    <cfRule type="cellIs" dxfId="998" priority="8" operator="lessThan">
      <formula>0.8</formula>
    </cfRule>
  </conditionalFormatting>
  <conditionalFormatting sqref="R70">
    <cfRule type="cellIs" dxfId="997" priority="10" operator="lessThan">
      <formula>0.8</formula>
    </cfRule>
  </conditionalFormatting>
  <conditionalFormatting sqref="O54">
    <cfRule type="cellIs" dxfId="996" priority="1" operator="greaterThan">
      <formula>0</formula>
    </cfRule>
  </conditionalFormatting>
  <conditionalFormatting sqref="P54">
    <cfRule type="cellIs" dxfId="995" priority="4" operator="lessThan">
      <formula>0</formula>
    </cfRule>
  </conditionalFormatting>
  <conditionalFormatting sqref="Q54">
    <cfRule type="cellIs" dxfId="994" priority="2" operator="greaterThan">
      <formula>1</formula>
    </cfRule>
    <cfRule type="cellIs" dxfId="993" priority="3" operator="lessThan">
      <formula>0.8</formula>
    </cfRule>
  </conditionalFormatting>
  <conditionalFormatting sqref="AG54 R54">
    <cfRule type="cellIs" dxfId="992" priority="5" operator="lessThan">
      <formula>0.8</formula>
    </cfRule>
  </conditionalFormatting>
  <dataValidations count="1">
    <dataValidation type="list" allowBlank="1" showInputMessage="1" showErrorMessage="1" sqref="AB8 AA5:AB7 AB60:AB61 AA62:AB71 AA8:AA61 AB10:AB5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D10" sqref="D10:J1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127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128</v>
      </c>
      <c r="C3" s="555" t="str">
        <f>TEXT('0517 4度C'!A2,"yyyy.mm.ddaaaa")</f>
        <v>2026.05.17星期日</v>
      </c>
      <c r="D3" s="556"/>
      <c r="E3" s="54" t="s">
        <v>1740</v>
      </c>
      <c r="F3" s="557">
        <f>'0517 4度C'!D1</f>
        <v>196232</v>
      </c>
      <c r="G3" s="558"/>
      <c r="H3" s="54" t="s">
        <v>1741</v>
      </c>
      <c r="I3" s="559">
        <f>'0517 4度C'!F1</f>
        <v>6622442.7199999997</v>
      </c>
      <c r="J3" s="560"/>
      <c r="K3" s="55"/>
      <c r="L3" s="56"/>
      <c r="M3" s="57"/>
      <c r="N3" s="57"/>
    </row>
    <row r="4" spans="2:17" ht="28.5" customHeight="1">
      <c r="B4" s="561" t="s">
        <v>1742</v>
      </c>
      <c r="C4" s="547" t="s">
        <v>132</v>
      </c>
      <c r="D4" s="548"/>
      <c r="E4" s="564" t="s">
        <v>133</v>
      </c>
      <c r="F4" s="565"/>
      <c r="G4" s="564" t="s">
        <v>1743</v>
      </c>
      <c r="H4" s="565"/>
      <c r="I4" s="564" t="s">
        <v>135</v>
      </c>
      <c r="J4" s="565"/>
      <c r="K4" s="545" t="s">
        <v>1744</v>
      </c>
      <c r="L4" s="546"/>
      <c r="M4" s="546" t="s">
        <v>1745</v>
      </c>
      <c r="N4" s="546"/>
    </row>
    <row r="5" spans="2:17" ht="28.5" customHeight="1">
      <c r="B5" s="562"/>
      <c r="C5" s="547" t="s">
        <v>1746</v>
      </c>
      <c r="D5" s="548"/>
      <c r="E5" s="547" t="s">
        <v>1747</v>
      </c>
      <c r="F5" s="548"/>
      <c r="G5" s="549" t="s">
        <v>1748</v>
      </c>
      <c r="H5" s="550"/>
      <c r="I5" s="551" t="s">
        <v>1749</v>
      </c>
      <c r="J5" s="552"/>
      <c r="K5" s="58" t="s">
        <v>142</v>
      </c>
      <c r="L5" s="59" t="s">
        <v>1750</v>
      </c>
      <c r="M5" s="58" t="s">
        <v>1751</v>
      </c>
      <c r="N5" s="59" t="s">
        <v>1752</v>
      </c>
    </row>
    <row r="6" spans="2:17" ht="28.5" customHeight="1">
      <c r="B6" s="562"/>
      <c r="C6" s="547" t="s">
        <v>145</v>
      </c>
      <c r="D6" s="548"/>
      <c r="E6" s="539">
        <f>AVERAGE(D13:M13)</f>
        <v>151.7069824591849</v>
      </c>
      <c r="F6" s="540">
        <f>AVERAGE(D31:O31,D13:J13)</f>
        <v>158.43474294433858</v>
      </c>
      <c r="G6" s="541">
        <f>AVERAGE(D13:J13)</f>
        <v>158.43474294433858</v>
      </c>
      <c r="H6" s="542"/>
      <c r="I6" s="541">
        <f>AVERAGE(K13:M13)</f>
        <v>136.00887466049298</v>
      </c>
      <c r="J6" s="542"/>
      <c r="K6" s="543">
        <f>'0517 4度C'!Y2</f>
        <v>0</v>
      </c>
      <c r="L6" s="528">
        <f>'0517 4度C'!Z2</f>
        <v>0</v>
      </c>
      <c r="M6" s="544">
        <f>'0517 4度C'!AC2</f>
        <v>56</v>
      </c>
      <c r="N6" s="528">
        <f>'0517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145.11513063980897</v>
      </c>
      <c r="F7" s="532">
        <f>AVERAGE(D32:O32,D14:J14)</f>
        <v>151.59930011309001</v>
      </c>
      <c r="G7" s="533">
        <f>AVERAGE(D14:J14)</f>
        <v>151.59930011309001</v>
      </c>
      <c r="H7" s="534"/>
      <c r="I7" s="533">
        <f>AVERAGE(K14:M14)</f>
        <v>129.98540186881993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0.95673199772352291</v>
      </c>
      <c r="F8" s="536">
        <f>AVERAGE(D15:J15,D33:O33)</f>
        <v>0.95716412418280128</v>
      </c>
      <c r="G8" s="537">
        <f>AVERAGE(D15:J15)</f>
        <v>0.95716412418280128</v>
      </c>
      <c r="H8" s="538"/>
      <c r="I8" s="537">
        <f>AVERAGE(K15:M15)</f>
        <v>0.95572370265187345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148</v>
      </c>
      <c r="N9" s="57"/>
      <c r="O9" s="57"/>
      <c r="P9" s="57"/>
      <c r="Q9" s="57"/>
    </row>
    <row r="10" spans="2:17" ht="30" customHeight="1">
      <c r="B10" s="511" t="s">
        <v>1753</v>
      </c>
      <c r="C10" s="512"/>
      <c r="D10" s="513" t="s">
        <v>150</v>
      </c>
      <c r="E10" s="514"/>
      <c r="F10" s="514"/>
      <c r="G10" s="514"/>
      <c r="H10" s="514"/>
      <c r="I10" s="514"/>
      <c r="J10" s="515"/>
      <c r="K10" s="516" t="s">
        <v>151</v>
      </c>
      <c r="L10" s="517"/>
      <c r="M10" s="518"/>
      <c r="P10" s="63"/>
      <c r="Q10" s="63"/>
    </row>
    <row r="11" spans="2:17" ht="17.25" customHeight="1">
      <c r="B11" s="519" t="s">
        <v>152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1754</v>
      </c>
      <c r="C13" s="70" t="s">
        <v>1755</v>
      </c>
      <c r="D13" s="71">
        <f>SUMIFS('0517 4度C'!$K:$K,'0517 4度C'!$A:$A,"新豐6線",'0517 4度C'!$B:$B,"平均")</f>
        <v>125</v>
      </c>
      <c r="E13" s="72">
        <f>SUMIFS('0517 4度C'!$K:$K,'0517 4度C'!$A:$A,"新豐2線",'0517 4度C'!$B:$B,"平均")</f>
        <v>84.905660377358487</v>
      </c>
      <c r="F13" s="73">
        <f>SUMIFS('0517 4度C'!$K:$K,'0517 4度C'!$A:$A,"新豐5線",'0517 4度C'!$B:$B,"平均")</f>
        <v>102.77777777777777</v>
      </c>
      <c r="G13" s="73">
        <f>SUMIFS('0517 4度C'!$K:$K,'0517 4度C'!$A:$A,"新豐7線",'0517 4度C'!$B:$B,"平均")</f>
        <v>121.05263157894737</v>
      </c>
      <c r="H13" s="73">
        <f>SUMIFS('0517 4度C'!$K:$K,'0517 4度C'!$A:$A,"新豐3線",'0517 4度C'!$B:$B,"平均")</f>
        <v>255.81395348837211</v>
      </c>
      <c r="I13" s="73">
        <f>SUMIFS('0517 4度C'!$K:$K,'0517 4度C'!$A:$A,"新豐1線",'0517 4度C'!$B:$B,"平均")</f>
        <v>103.70370370370371</v>
      </c>
      <c r="J13" s="74">
        <f>SUMIFS('0517 4度C'!$K:$K,'0517 4度C'!$A:$A,"新豐10線",'0517 4度C'!$B:$B,"平均")</f>
        <v>315.78947368421052</v>
      </c>
      <c r="K13" s="75">
        <f>SUMIFS('0517 4度C'!$K:$K,'0517 4度C'!$A:$A,"新豐8線",'0517 4度C'!$B:$B,"平均")</f>
        <v>135.48387096774192</v>
      </c>
      <c r="L13" s="76">
        <f>SUMIFS('0517 4度C'!$K:$K,'0517 4度C'!$A:$A,"新豐9線",'0517 4度C'!$B:$B,"平均")</f>
        <v>123.57723577235772</v>
      </c>
      <c r="M13" s="74">
        <f>SUMIFS('0517 4度C'!$K:$K,'0517 4度C'!$A:$A,"新豐4線",'0517 4度C'!$B:$B,"平均")</f>
        <v>148.9655172413793</v>
      </c>
    </row>
    <row r="14" spans="2:17" ht="39.6" customHeight="1">
      <c r="B14" s="524"/>
      <c r="C14" s="77" t="s">
        <v>165</v>
      </c>
      <c r="D14" s="78">
        <f>SUMIFS('0517 4度C'!$N:$N,'0517 4度C'!$A:$A,"新豐6線",'0517 4度C'!$B:$B,"平均")</f>
        <v>120.20691753422024</v>
      </c>
      <c r="E14" s="79">
        <f>SUMIFS('0517 4度C'!$N:$N,'0517 4度C'!$A:$A,"新豐2線",'0517 4度C'!$B:$B,"平均")</f>
        <v>80.855089282870665</v>
      </c>
      <c r="F14" s="79">
        <f>SUMIFS('0517 4度C'!$N:$N,'0517 4度C'!$A:$A,"新豐5線",'0517 4度C'!$B:$B,"平均")</f>
        <v>98.069621283691902</v>
      </c>
      <c r="G14" s="79">
        <f>SUMIFS('0517 4度C'!$N:$N,'0517 4度C'!$A:$A,"新豐7線",'0517 4度C'!$B:$B,"平均")</f>
        <v>115.9726257189797</v>
      </c>
      <c r="H14" s="79">
        <f>SUMIFS('0517 4度C'!$N:$N,'0517 4度C'!$A:$A,"新豐3線",'0517 4度C'!$B:$B,"平均")</f>
        <v>243.8454401301959</v>
      </c>
      <c r="I14" s="79">
        <f>SUMIFS('0517 4度C'!$N:$N,'0517 4度C'!$A:$A,"新豐1線",'0517 4度C'!$B:$B,"平均")</f>
        <v>99.9018634055588</v>
      </c>
      <c r="J14" s="80">
        <f>SUMIFS('0517 4度C'!$N:$N,'0517 4度C'!$A:$A,"新豐10線",'0517 4度C'!$B:$B,"平均")</f>
        <v>302.34354343611284</v>
      </c>
      <c r="K14" s="81">
        <f>SUMIFS('0517 4度C'!$N:$N,'0517 4度C'!$A:$A,"新豐8線",'0517 4度C'!$B:$B,"平均")</f>
        <v>129.28111608948396</v>
      </c>
      <c r="L14" s="82">
        <f>SUMIFS('0517 4度C'!$N:$N,'0517 4度C'!$A:$A,"新豐9線",'0517 4度C'!$B:$B,"平均")</f>
        <v>118.22646946961348</v>
      </c>
      <c r="M14" s="80">
        <f>SUMIFS('0517 4度C'!$N:$N,'0517 4度C'!$A:$A,"新豐4線",'0517 4度C'!$B:$B,"平均")</f>
        <v>142.44862004736237</v>
      </c>
    </row>
    <row r="15" spans="2:17" ht="40.15" customHeight="1">
      <c r="B15" s="525"/>
      <c r="C15" s="83" t="s">
        <v>1756</v>
      </c>
      <c r="D15" s="84">
        <f t="shared" ref="D15:M15" si="0">D14/D13</f>
        <v>0.96165534027376187</v>
      </c>
      <c r="E15" s="85">
        <f t="shared" si="0"/>
        <v>0.95229327377603235</v>
      </c>
      <c r="F15" s="85">
        <f t="shared" si="0"/>
        <v>0.95419090978727261</v>
      </c>
      <c r="G15" s="85">
        <f t="shared" si="0"/>
        <v>0.95803473420026708</v>
      </c>
      <c r="H15" s="85">
        <f t="shared" si="0"/>
        <v>0.95321399323622025</v>
      </c>
      <c r="I15" s="85">
        <f t="shared" si="0"/>
        <v>0.96333939712503125</v>
      </c>
      <c r="J15" s="86">
        <f t="shared" si="0"/>
        <v>0.95742122088102399</v>
      </c>
      <c r="K15" s="84">
        <f t="shared" si="0"/>
        <v>0.95421776161285787</v>
      </c>
      <c r="L15" s="85">
        <f t="shared" si="0"/>
        <v>0.95670103583963539</v>
      </c>
      <c r="M15" s="86">
        <f t="shared" si="0"/>
        <v>0.95625231050312709</v>
      </c>
    </row>
    <row r="16" spans="2:17" ht="17.25" customHeight="1">
      <c r="B16" s="526" t="s">
        <v>1757</v>
      </c>
      <c r="C16" s="87" t="s">
        <v>1758</v>
      </c>
      <c r="D16" s="88">
        <f>VLOOKUP("新豐6線",'0517 4度C'!$A:$T,19,0)</f>
        <v>0.70833333333333337</v>
      </c>
      <c r="E16" s="89">
        <f>VLOOKUP("新豐2線",'0517 4度C'!$A:$T,19,0)</f>
        <v>0.20833333333333334</v>
      </c>
      <c r="F16" s="89">
        <f>VLOOKUP("新豐5線",'0517 4度C'!$A:$T,19,0)</f>
        <v>0.20833333333333334</v>
      </c>
      <c r="G16" s="89">
        <f>VLOOKUP("新豐7線",'0517 4度C'!$A:$T,19,0)</f>
        <v>0.20833333333333334</v>
      </c>
      <c r="H16" s="89">
        <f>VLOOKUP("新豐3線",'0517 4度C'!$A:$T,19,0)</f>
        <v>8.3333333333333329E-2</v>
      </c>
      <c r="I16" s="89">
        <f>VLOOKUP("新豐1線",'0517 4度C'!$A:$T,19,0)</f>
        <v>0.20833333333333334</v>
      </c>
      <c r="J16" s="90">
        <f>VLOOKUP("新豐10線",'0517 4度C'!$A:$T,19,0)</f>
        <v>0.20833333333333334</v>
      </c>
      <c r="K16" s="91">
        <f>VLOOKUP("新豐8線",'0517 4度C'!$A:$T,19,0)</f>
        <v>8.3333333333333329E-2</v>
      </c>
      <c r="L16" s="92">
        <f>VLOOKUP("新豐9線",'0517 4度C'!$A:$T,19,0)</f>
        <v>8.3333333333333329E-2</v>
      </c>
      <c r="M16" s="93">
        <f>VLOOKUP("新豐4線",'0517 4度C'!$A:$T,19,0)</f>
        <v>8.3333333333333329E-2</v>
      </c>
    </row>
    <row r="17" spans="2:13" ht="17.25" customHeight="1">
      <c r="B17" s="527"/>
      <c r="C17" s="87" t="s">
        <v>1759</v>
      </c>
      <c r="D17" s="91">
        <f>LOOKUP(2,1/(('0517 4度C'!$A:$A="新豐6線")*('0517 4度C'!$T:$T&lt;&gt;"")),'0517 4度C'!$T:$T)</f>
        <v>0.83124999999999993</v>
      </c>
      <c r="E17" s="89">
        <f>LOOKUP(2,1/(('0517 4度C'!$A:$A="新豐2線")*('0517 4度C'!$T:$T&lt;&gt;"")),'0517 4度C'!$T:$T)</f>
        <v>0.65902777777777777</v>
      </c>
      <c r="F17" s="89">
        <f>LOOKUP(2,1/(('0517 4度C'!$A:$A="新豐5線")*('0517 4度C'!$T:$T&lt;&gt;"")),'0517 4度C'!$T:$T)</f>
        <v>0.80763888888888891</v>
      </c>
      <c r="G17" s="89">
        <f>LOOKUP(2,1/(('0517 4度C'!$A:$A="新豐7線")*('0517 4度C'!$T:$T&lt;&gt;"")),'0517 4度C'!$T:$T)</f>
        <v>0.82152777777777786</v>
      </c>
      <c r="H17" s="89">
        <f>LOOKUP(2,1/(('0517 4度C'!$A:$A="新豐3線")*('0517 4度C'!$T:$T&lt;&gt;"")),'0517 4度C'!$T:$T)</f>
        <v>0.45972222222222225</v>
      </c>
      <c r="I17" s="89">
        <f>LOOKUP(2,1/(('0517 4度C'!$A:$A="新豐1線")*('0517 4度C'!$T:$T&lt;&gt;"")),'0517 4度C'!$T:$T)</f>
        <v>0.79444444444444451</v>
      </c>
      <c r="J17" s="90">
        <f>LOOKUP(2,1/(('0517 4度C'!$A:$A="新豐10線")*('0517 4度C'!$T:$T&lt;&gt;"")),'0517 4度C'!$T:$T)</f>
        <v>0.4277777777777777</v>
      </c>
      <c r="K17" s="88">
        <f>LOOKUP(2,1/(('0517 4度C'!$A:$A="新豐8線")*('0517 4度C'!$T:$T&lt;&gt;"")),'0517 4度C'!$T:$T)</f>
        <v>0.78680555555555542</v>
      </c>
      <c r="L17" s="89">
        <f>LOOKUP(2,1/(('0517 4度C'!$A:$A="新豐9線")*('0517 4度C'!$T:$T&lt;&gt;"")),'0517 4度C'!$T:$T)</f>
        <v>0.74791666666666667</v>
      </c>
      <c r="M17" s="90">
        <f>LOOKUP(2,1/(('0517 4度C'!$A:$A="新豐4線")*('0517 4度C'!$T:$T&lt;&gt;"")),'0517 4度C'!$T:$T)</f>
        <v>0.77569444444444424</v>
      </c>
    </row>
    <row r="18" spans="2:13" ht="17.25" customHeight="1">
      <c r="B18" s="505" t="s">
        <v>1760</v>
      </c>
      <c r="C18" s="94" t="s">
        <v>1761</v>
      </c>
      <c r="D18" s="95">
        <f>SUMIFS('0517 4度C'!$Y:$Y,'0517 4度C'!$A:$A,"新豐6線",'0517 4度C'!$B:$B,"平均")</f>
        <v>0</v>
      </c>
      <c r="E18" s="96">
        <f>SUMIFS('0517 4度C'!$Y:$Y,'0517 4度C'!$A:$A,"新豐2線",'0517 4度C'!$B:$B,"平均")</f>
        <v>0</v>
      </c>
      <c r="F18" s="96">
        <f>SUMIFS('0517 4度C'!$Y:$Y,'0517 4度C'!$A:$A,"新豐5線",'0517 4度C'!$B:$B,"平均")</f>
        <v>0</v>
      </c>
      <c r="G18" s="96">
        <f>SUMIFS('0517 4度C'!$Y:$Y,'0517 4度C'!$A:$A,"新豐7線",'0517 4度C'!$B:$B,"平均")</f>
        <v>0</v>
      </c>
      <c r="H18" s="96">
        <f>SUMIFS('0517 4度C'!$Y:$Y,'0517 4度C'!$A:$A,"新豐3線",'0517 4度C'!$B:$B,"平均")</f>
        <v>0</v>
      </c>
      <c r="I18" s="96">
        <f>SUMIFS('0517 4度C'!$Y:$Y,'0517 4度C'!$A:$A,"新豐1線",'0517 4度C'!$B:$B,"平均")</f>
        <v>0</v>
      </c>
      <c r="J18" s="97">
        <f>SUMIFS('0517 4度C'!$Y:$Y,'0517 4度C'!$A:$A,"新豐10線",'0517 4度C'!$B:$B,"平均")</f>
        <v>0</v>
      </c>
      <c r="K18" s="98">
        <f>SUMIFS('0517 4度C'!$Y:$Y,'0517 4度C'!$A:$A,"新豐8線",'0517 4度C'!$B:$B,"平均")</f>
        <v>0</v>
      </c>
      <c r="L18" s="96">
        <f>SUMIFS('0517 4度C'!$Y:$Y,'0517 4度C'!$A:$A,"新豐9線",'0517 4度C'!$B:$B,"平均")</f>
        <v>0</v>
      </c>
      <c r="M18" s="97">
        <f>SUMIFS('0517 4度C'!$Y:$Y,'0517 4度C'!$A:$A,"新豐4線",'0517 4度C'!$B:$B,"平均")</f>
        <v>0</v>
      </c>
    </row>
    <row r="19" spans="2:13" ht="17.25" customHeight="1">
      <c r="B19" s="506"/>
      <c r="C19" s="94" t="s">
        <v>1762</v>
      </c>
      <c r="D19" s="95">
        <f>SUMIFS('0517 4度C'!$Z:$Z,'0517 4度C'!$A:$A,"新豐6線",'0517 4度C'!$B:$B,"平均")</f>
        <v>0</v>
      </c>
      <c r="E19" s="96">
        <f>SUMIFS('0517 4度C'!$Z:$Z,'0517 4度C'!$A:$A,"新豐2線",'0517 4度C'!$B:$B,"平均")</f>
        <v>0</v>
      </c>
      <c r="F19" s="96">
        <f>SUMIFS('0517 4度C'!$Z:$Z,'0517 4度C'!$A:$A,"新豐5線",'0517 4度C'!$B:$B,"平均")</f>
        <v>0</v>
      </c>
      <c r="G19" s="96">
        <f>SUMIFS('0517 4度C'!$Z:$Z,'0517 4度C'!$A:$A,"新豐7線",'0517 4度C'!$B:$B,"平均")</f>
        <v>0</v>
      </c>
      <c r="H19" s="96">
        <f>SUMIFS('0517 4度C'!$Z:$Z,'0517 4度C'!$A:$A,"新豐3線",'0517 4度C'!$B:$B,"平均")</f>
        <v>0</v>
      </c>
      <c r="I19" s="96">
        <f>SUMIFS('0517 4度C'!$Z:$Z,'0517 4度C'!$A:$A,"新豐1線",'0517 4度C'!$B:$B,"平均")</f>
        <v>0</v>
      </c>
      <c r="J19" s="97">
        <f>SUMIFS('0517 4度C'!$Z:$Z,'0517 4度C'!$A:$A,"新豐10線",'0517 4度C'!$B:$B,"平均")</f>
        <v>0</v>
      </c>
      <c r="K19" s="98">
        <f>SUMIFS('0517 4度C'!$Z:$Z,'0517 4度C'!$A:$A,"新豐8線",'0517 4度C'!$B:$B,"平均")</f>
        <v>0</v>
      </c>
      <c r="L19" s="96">
        <f>SUMIFS('0517 4度C'!$Z:$Z,'0517 4度C'!$A:$A,"新豐9線",'0517 4度C'!$B:$B,"平均")</f>
        <v>0</v>
      </c>
      <c r="M19" s="97">
        <f>SUMIFS('0517 4度C'!$Z:$Z,'0517 4度C'!$A:$A,"新豐4線",'0517 4度C'!$B:$B,"平均")</f>
        <v>0</v>
      </c>
    </row>
    <row r="20" spans="2:13" ht="17.25" customHeight="1">
      <c r="B20" s="505" t="s">
        <v>1763</v>
      </c>
      <c r="C20" s="94" t="s">
        <v>1761</v>
      </c>
      <c r="D20" s="95">
        <f>SUMIFS('0517 4度C'!$AC:$AC,'0517 4度C'!$A:$A,"新豐6線",'0517 4度C'!$B:$B,"平均")</f>
        <v>3</v>
      </c>
      <c r="E20" s="96">
        <f>SUMIFS('0517 4度C'!$AC:$AC,'0517 4度C'!$A:$A,"新豐2線",'0517 4度C'!$B:$B,"平均")</f>
        <v>3</v>
      </c>
      <c r="F20" s="96">
        <f>SUMIFS('0517 4度C'!$AC:$AC,'0517 4度C'!$A:$A,"新豐5線",'0517 4度C'!$B:$B,"平均")</f>
        <v>4</v>
      </c>
      <c r="G20" s="96">
        <f>SUMIFS('0517 4度C'!$AC:$AC,'0517 4度C'!$A:$A,"新豐7線",'0517 4度C'!$B:$B,"平均")</f>
        <v>6</v>
      </c>
      <c r="H20" s="96">
        <f>SUMIFS('0517 4度C'!$AC:$AC,'0517 4度C'!$A:$A,"新豐3線",'0517 4度C'!$B:$B,"平均")</f>
        <v>4</v>
      </c>
      <c r="I20" s="96">
        <f>SUMIFS('0517 4度C'!$AC:$AC,'0517 4度C'!$A:$A,"新豐1線",'0517 4度C'!$B:$B,"平均")</f>
        <v>7</v>
      </c>
      <c r="J20" s="97">
        <f>SUMIFS('0517 4度C'!$AC:$AC,'0517 4度C'!$A:$A,"新豐10線",'0517 4度C'!$B:$B,"平均")</f>
        <v>6</v>
      </c>
      <c r="K20" s="98">
        <f>SUMIFS('0517 4度C'!$AC:$AC,'0517 4度C'!$A:$A,"新豐8線",'0517 4度C'!$B:$B,"平均")</f>
        <v>7</v>
      </c>
      <c r="L20" s="96">
        <f>SUMIFS('0517 4度C'!$AC:$AC,'0517 4度C'!$A:$A,"新豐9線",'0517 4度C'!$B:$B,"平均")</f>
        <v>7</v>
      </c>
      <c r="M20" s="97">
        <f>SUMIFS('0517 4度C'!$AC:$AC,'0517 4度C'!$A:$A,"新豐4線",'0517 4度C'!$B:$B,"平均")</f>
        <v>9</v>
      </c>
    </row>
    <row r="21" spans="2:13" ht="17.25" customHeight="1">
      <c r="B21" s="506"/>
      <c r="C21" s="94" t="s">
        <v>1764</v>
      </c>
      <c r="D21" s="95">
        <f>SUMIFS('0517 4度C'!$AD:$AD,'0517 4度C'!$A:$A,"新豐6線",'0517 4度C'!$B:$B,"平均")</f>
        <v>0</v>
      </c>
      <c r="E21" s="96">
        <f>SUMIFS('0517 4度C'!$AD:$AD,'0517 4度C'!$A:$A,"新豐2線",'0517 4度C'!$B:$B,"平均")</f>
        <v>0</v>
      </c>
      <c r="F21" s="96">
        <f>SUMIFS('0517 4度C'!$AD:$AD,'0517 4度C'!$A:$A,"新豐5線",'0517 4度C'!$B:$B,"平均")</f>
        <v>0</v>
      </c>
      <c r="G21" s="96">
        <f>SUMIFS('0517 4度C'!$AD:$AD,'0517 4度C'!$A:$A,"新豐7線",'0517 4度C'!$B:$B,"平均")</f>
        <v>0</v>
      </c>
      <c r="H21" s="96">
        <f>SUMIFS('0517 4度C'!$AD:$AD,'0517 4度C'!$A:$A,"新豐3線",'0517 4度C'!$B:$B,"平均")</f>
        <v>0</v>
      </c>
      <c r="I21" s="96">
        <f>SUMIFS('0517 4度C'!$AD:$AD,'0517 4度C'!$A:$A,"新豐1線",'0517 4度C'!$B:$B,"平均")</f>
        <v>0</v>
      </c>
      <c r="J21" s="97">
        <f>SUMIFS('0517 4度C'!$AD:$AD,'0517 4度C'!$A:$A,"新豐10線",'0517 4度C'!$B:$B,"平均")</f>
        <v>0</v>
      </c>
      <c r="K21" s="98">
        <f>SUMIFS('0517 4度C'!$AD:$AD,'0517 4度C'!$A:$A,"新豐8線",'0517 4度C'!$B:$B,"平均")</f>
        <v>0</v>
      </c>
      <c r="L21" s="96">
        <f>SUMIFS('0517 4度C'!$AD:$AD,'0517 4度C'!$A:$A,"新豐9線",'0517 4度C'!$B:$B,"平均")</f>
        <v>0</v>
      </c>
      <c r="M21" s="97">
        <f>SUMIFS('0517 4度C'!$AD:$AD,'0517 4度C'!$A:$A,"新豐4線",'0517 4度C'!$B:$B,"平均")</f>
        <v>0</v>
      </c>
    </row>
    <row r="22" spans="2:13" ht="17.25" customHeight="1">
      <c r="B22" s="507" t="s">
        <v>1765</v>
      </c>
      <c r="C22" s="508"/>
      <c r="D22" s="99">
        <f>SUMIFS('0517 4度C'!$I:$I,'0517 4度C'!$A:$A,"新豐6線",'0517 4度C'!$B:$B,"平均")</f>
        <v>16</v>
      </c>
      <c r="E22" s="100">
        <f>SUMIFS('0517 4度C'!$I:$I,'0517 4度C'!$A:$A,"新豐2線",'0517 4度C'!$B:$B,"平均")</f>
        <v>17.666666666666668</v>
      </c>
      <c r="F22" s="100">
        <f>SUMIFS('0517 4度C'!$I:$I,'0517 4度C'!$A:$A,"新豐5線",'0517 4度C'!$B:$B,"平均")</f>
        <v>18</v>
      </c>
      <c r="G22" s="100">
        <f>SUMIFS('0517 4度C'!$I:$I,'0517 4度C'!$A:$A,"新豐7線",'0517 4度C'!$B:$B,"平均")</f>
        <v>15.833333333333334</v>
      </c>
      <c r="H22" s="100">
        <f>SUMIFS('0517 4度C'!$I:$I,'0517 4度C'!$A:$A,"新豐3線",'0517 4度C'!$B:$B,"平均")</f>
        <v>10.75</v>
      </c>
      <c r="I22" s="100">
        <f>SUMIFS('0517 4度C'!$I:$I,'0517 4度C'!$A:$A,"新豐1線",'0517 4度C'!$B:$B,"平均")</f>
        <v>19.285714285714285</v>
      </c>
      <c r="J22" s="101">
        <f>SUMIFS('0517 4度C'!$I:$I,'0517 4度C'!$A:$A,"新豐10線",'0517 4度C'!$B:$B,"平均")</f>
        <v>9.5</v>
      </c>
      <c r="K22" s="99">
        <f>SUMIFS('0517 4度C'!$I:$I,'0517 4度C'!$A:$A,"新豐8線",'0517 4度C'!$B:$B,"平均")</f>
        <v>17.714285714285715</v>
      </c>
      <c r="L22" s="100">
        <f>SUMIFS('0517 4度C'!$I:$I,'0517 4度C'!$A:$A,"新豐9線",'0517 4度C'!$B:$B,"平均")</f>
        <v>17.571428571428573</v>
      </c>
      <c r="M22" s="101">
        <f>SUMIFS('0517 4度C'!$I:$I,'0517 4度C'!$A:$A,"新豐4線",'0517 4度C'!$B:$B,"平均")</f>
        <v>16.111111111111111</v>
      </c>
    </row>
    <row r="23" spans="2:13" ht="17.25" customHeight="1">
      <c r="B23" s="507" t="s">
        <v>1766</v>
      </c>
      <c r="C23" s="508"/>
      <c r="D23" s="102" t="s">
        <v>177</v>
      </c>
      <c r="E23" s="103" t="s">
        <v>178</v>
      </c>
      <c r="F23" s="103" t="s">
        <v>1767</v>
      </c>
      <c r="G23" s="103" t="s">
        <v>1768</v>
      </c>
      <c r="H23" s="103" t="s">
        <v>180</v>
      </c>
      <c r="I23" s="103" t="s">
        <v>177</v>
      </c>
      <c r="J23" s="104" t="s">
        <v>180</v>
      </c>
      <c r="K23" s="102" t="s">
        <v>1769</v>
      </c>
      <c r="L23" s="103" t="s">
        <v>1770</v>
      </c>
      <c r="M23" s="104" t="s">
        <v>1770</v>
      </c>
    </row>
    <row r="24" spans="2:13" ht="17.25" customHeight="1">
      <c r="B24" s="507" t="s">
        <v>1771</v>
      </c>
      <c r="C24" s="508"/>
      <c r="D24" s="102"/>
      <c r="E24" s="103"/>
      <c r="F24" s="103" t="s">
        <v>184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1772</v>
      </c>
      <c r="C25" s="510"/>
      <c r="D25" s="105"/>
      <c r="E25" s="106" t="s">
        <v>1773</v>
      </c>
      <c r="F25" s="503" t="s">
        <v>1774</v>
      </c>
      <c r="G25" s="504"/>
      <c r="H25" s="106" t="s">
        <v>1775</v>
      </c>
      <c r="I25" s="106" t="s">
        <v>1776</v>
      </c>
      <c r="J25" s="107" t="s">
        <v>1775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99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1"/>
  <sheetViews>
    <sheetView zoomScale="80" zoomScaleNormal="80" workbookViewId="0">
      <pane ySplit="4" topLeftCell="A5" activePane="bottomLeft" state="frozen"/>
      <selection activeCell="D10" sqref="D10:J10"/>
      <selection pane="bottomLeft" activeCell="D10" sqref="D10:J1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1777</v>
      </c>
      <c r="B1" s="1"/>
      <c r="C1" s="2" t="s">
        <v>1778</v>
      </c>
      <c r="D1" s="3">
        <f>SUM(F5:F70)</f>
        <v>196232</v>
      </c>
      <c r="E1" s="301" t="s">
        <v>1779</v>
      </c>
      <c r="F1" s="1">
        <f>SUM(G5:G70)</f>
        <v>6622442.7199999997</v>
      </c>
      <c r="G1" s="1" t="s">
        <v>1780</v>
      </c>
      <c r="H1" s="5">
        <f>L8+L12+L45+L53+L17+L60+L32+L40+L24+L70</f>
        <v>158.4325396825397</v>
      </c>
      <c r="I1" s="617" t="s">
        <v>1781</v>
      </c>
      <c r="J1" s="617"/>
      <c r="K1" s="617"/>
      <c r="L1" s="617" t="s">
        <v>1782</v>
      </c>
      <c r="M1" s="617"/>
      <c r="N1" s="617"/>
      <c r="O1" s="617" t="s">
        <v>1783</v>
      </c>
      <c r="P1" s="617"/>
      <c r="Q1" s="617"/>
      <c r="R1" s="617"/>
      <c r="S1" s="617" t="s">
        <v>1784</v>
      </c>
      <c r="T1" s="617"/>
      <c r="U1" s="617"/>
      <c r="V1" s="617"/>
      <c r="W1" s="617"/>
      <c r="X1" s="617"/>
      <c r="Y1" s="6" t="s">
        <v>1785</v>
      </c>
      <c r="Z1" s="7" t="s">
        <v>1786</v>
      </c>
      <c r="AA1" s="618" t="s">
        <v>1787</v>
      </c>
      <c r="AB1" s="618"/>
      <c r="AC1" s="121" t="s">
        <v>1785</v>
      </c>
      <c r="AD1" s="7" t="s">
        <v>1788</v>
      </c>
      <c r="AE1" s="617" t="s">
        <v>1789</v>
      </c>
      <c r="AF1" s="619"/>
      <c r="AG1" s="619"/>
    </row>
    <row r="2" spans="1:33" ht="26.25" customHeight="1">
      <c r="A2" s="37">
        <v>46159</v>
      </c>
      <c r="B2" s="38" t="s">
        <v>353</v>
      </c>
      <c r="C2" s="2" t="s">
        <v>1754</v>
      </c>
      <c r="D2" s="10">
        <f>AVERAGE(N8,N12,N45,N53,N17,N60,N24,N32,N40,N70)</f>
        <v>145.115130639809</v>
      </c>
      <c r="E2" s="11" t="s">
        <v>14</v>
      </c>
      <c r="F2" s="12">
        <f>F1/D1</f>
        <v>33.748026417709646</v>
      </c>
      <c r="G2" s="1" t="s">
        <v>1790</v>
      </c>
      <c r="H2" s="310">
        <f>COUNT(H5:H70)</f>
        <v>11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SUM(Y8+Y12+Y17+Y24+Y32+Y40+Y45+Y53+Y60+Y70)</f>
        <v>0</v>
      </c>
      <c r="Z2" s="14">
        <f>SUM(Z8+Z12+Z17+Z24+Z32+Z40+Z45+Z53+Z60+Z70)</f>
        <v>0</v>
      </c>
      <c r="AA2" s="618"/>
      <c r="AB2" s="618"/>
      <c r="AC2" s="122">
        <v>56</v>
      </c>
      <c r="AD2" s="14">
        <f>SUM(AD8+AD12+AD17+AD24+AD32+AD40+AD45+AD53+AD60+AD70)</f>
        <v>0</v>
      </c>
      <c r="AE2" s="619"/>
      <c r="AF2" s="619"/>
      <c r="AG2" s="619"/>
    </row>
    <row r="3" spans="1:33" ht="40.5" customHeight="1">
      <c r="A3" s="575" t="s">
        <v>1791</v>
      </c>
      <c r="B3" s="575" t="s">
        <v>252</v>
      </c>
      <c r="C3" s="575" t="s">
        <v>1792</v>
      </c>
      <c r="D3" s="575"/>
      <c r="E3" s="615" t="s">
        <v>19</v>
      </c>
      <c r="F3" s="575" t="s">
        <v>255</v>
      </c>
      <c r="G3" s="615" t="s">
        <v>1793</v>
      </c>
      <c r="H3" s="608" t="s">
        <v>1794</v>
      </c>
      <c r="I3" s="606" t="s">
        <v>1795</v>
      </c>
      <c r="J3" s="603" t="s">
        <v>24</v>
      </c>
      <c r="K3" s="613" t="s">
        <v>1796</v>
      </c>
      <c r="L3" s="606" t="s">
        <v>1797</v>
      </c>
      <c r="M3" s="603" t="s">
        <v>1798</v>
      </c>
      <c r="N3" s="613" t="s">
        <v>1799</v>
      </c>
      <c r="O3" s="606" t="s">
        <v>258</v>
      </c>
      <c r="P3" s="613" t="s">
        <v>13</v>
      </c>
      <c r="Q3" s="604" t="s">
        <v>1800</v>
      </c>
      <c r="R3" s="582" t="s">
        <v>1801</v>
      </c>
      <c r="S3" s="614" t="s">
        <v>28</v>
      </c>
      <c r="T3" s="614"/>
      <c r="U3" s="608" t="s">
        <v>29</v>
      </c>
      <c r="V3" s="608" t="s">
        <v>1802</v>
      </c>
      <c r="W3" s="575" t="s">
        <v>31</v>
      </c>
      <c r="X3" s="575"/>
      <c r="Y3" s="609" t="s">
        <v>32</v>
      </c>
      <c r="Z3" s="572"/>
      <c r="AA3" s="610" t="s">
        <v>1803</v>
      </c>
      <c r="AB3" s="611"/>
      <c r="AC3" s="609" t="s">
        <v>34</v>
      </c>
      <c r="AD3" s="572"/>
      <c r="AE3" s="603" t="s">
        <v>24</v>
      </c>
      <c r="AF3" s="604" t="s">
        <v>1800</v>
      </c>
      <c r="AG3" s="582" t="s">
        <v>1804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309" t="s">
        <v>36</v>
      </c>
      <c r="T4" s="309" t="s">
        <v>37</v>
      </c>
      <c r="U4" s="608"/>
      <c r="V4" s="608"/>
      <c r="W4" s="301" t="s">
        <v>1805</v>
      </c>
      <c r="X4" s="301" t="s">
        <v>1806</v>
      </c>
      <c r="Y4" s="300" t="s">
        <v>1807</v>
      </c>
      <c r="Z4" s="300" t="s">
        <v>1808</v>
      </c>
      <c r="AA4" s="612"/>
      <c r="AB4" s="611"/>
      <c r="AC4" s="300" t="s">
        <v>1809</v>
      </c>
      <c r="AD4" s="300" t="s">
        <v>1810</v>
      </c>
      <c r="AE4" s="603"/>
      <c r="AF4" s="604"/>
      <c r="AG4" s="582"/>
    </row>
    <row r="5" spans="1:33">
      <c r="A5" s="605" t="s">
        <v>1811</v>
      </c>
      <c r="B5" s="39" t="s">
        <v>74</v>
      </c>
      <c r="C5" s="607" t="s">
        <v>75</v>
      </c>
      <c r="D5" s="607"/>
      <c r="E5" s="39">
        <v>50.67</v>
      </c>
      <c r="F5" s="309">
        <v>1678</v>
      </c>
      <c r="G5" s="301">
        <f t="shared" ref="G5:G7" si="0">E5*F5</f>
        <v>85024.260000000009</v>
      </c>
      <c r="H5" s="48" t="s">
        <v>126</v>
      </c>
      <c r="I5" s="307">
        <v>17</v>
      </c>
      <c r="J5" s="43">
        <v>2000</v>
      </c>
      <c r="K5" s="18">
        <f t="shared" ref="K5:K68" si="1">J5/I5</f>
        <v>117.64705882352941</v>
      </c>
      <c r="L5" s="307">
        <v>17</v>
      </c>
      <c r="M5" s="19">
        <f t="shared" ref="M5:M7" si="2">F5/V5*60</f>
        <v>1936.1538461538473</v>
      </c>
      <c r="N5" s="18">
        <f t="shared" ref="N5:N68" si="3">M5/L5</f>
        <v>113.8914027149322</v>
      </c>
      <c r="O5" s="20">
        <f t="shared" ref="O5:O68" si="4">L5-I5</f>
        <v>0</v>
      </c>
      <c r="P5" s="21">
        <f t="shared" ref="P5:P68" si="5">N5-K5</f>
        <v>-3.7556561085972078</v>
      </c>
      <c r="Q5" s="305">
        <f t="shared" ref="Q5:Q68" si="6">N5/K5</f>
        <v>0.96807692307692372</v>
      </c>
      <c r="R5" s="573">
        <f>Q8</f>
        <v>0.96165534027376187</v>
      </c>
      <c r="S5" s="49">
        <v>0.70833333333333337</v>
      </c>
      <c r="T5" s="49">
        <v>0.74444444444444446</v>
      </c>
      <c r="U5" s="301"/>
      <c r="V5" s="308">
        <f t="shared" ref="V5:V7" si="7">(T5-S5)*24*60</f>
        <v>51.999999999999972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52" si="8">M5-J5</f>
        <v>-63.846153846152674</v>
      </c>
      <c r="AF5" s="305">
        <f t="shared" ref="AF5:AF68" si="9">M5/J5</f>
        <v>0.96807692307692361</v>
      </c>
      <c r="AG5" s="573">
        <f>AF8</f>
        <v>0.96165534027376187</v>
      </c>
    </row>
    <row r="6" spans="1:33">
      <c r="A6" s="606" t="s">
        <v>1812</v>
      </c>
      <c r="B6" s="39" t="s">
        <v>74</v>
      </c>
      <c r="C6" s="607" t="s">
        <v>77</v>
      </c>
      <c r="D6" s="607"/>
      <c r="E6" s="39">
        <v>50.67</v>
      </c>
      <c r="F6" s="309">
        <v>1813</v>
      </c>
      <c r="G6" s="301">
        <f t="shared" si="0"/>
        <v>91864.71</v>
      </c>
      <c r="H6" s="48" t="s">
        <v>126</v>
      </c>
      <c r="I6" s="307">
        <v>15</v>
      </c>
      <c r="J6" s="43">
        <v>2000</v>
      </c>
      <c r="K6" s="18">
        <f t="shared" si="1"/>
        <v>133.33333333333334</v>
      </c>
      <c r="L6" s="307">
        <v>15</v>
      </c>
      <c r="M6" s="19">
        <f t="shared" si="2"/>
        <v>1908.4210526315803</v>
      </c>
      <c r="N6" s="18">
        <f t="shared" si="3"/>
        <v>127.22807017543869</v>
      </c>
      <c r="O6" s="20">
        <f t="shared" si="4"/>
        <v>0</v>
      </c>
      <c r="P6" s="21">
        <f t="shared" si="5"/>
        <v>-6.1052631578946546</v>
      </c>
      <c r="Q6" s="305">
        <f t="shared" si="6"/>
        <v>0.95421052631579006</v>
      </c>
      <c r="R6" s="573"/>
      <c r="S6" s="49">
        <v>0.74791666666666667</v>
      </c>
      <c r="T6" s="49">
        <v>0.78749999999999998</v>
      </c>
      <c r="U6" s="301">
        <f t="shared" ref="U6:U7" si="10">IF(S6=TIME(17,0,0),"",(S6-T5)*24*60)</f>
        <v>4.9999999999999822</v>
      </c>
      <c r="V6" s="308">
        <f t="shared" si="7"/>
        <v>56.999999999999957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-91.578947368419676</v>
      </c>
      <c r="AF6" s="305">
        <f t="shared" si="9"/>
        <v>0.95421052631579018</v>
      </c>
      <c r="AG6" s="573"/>
    </row>
    <row r="7" spans="1:33">
      <c r="A7" s="606" t="s">
        <v>1812</v>
      </c>
      <c r="B7" s="39" t="s">
        <v>74</v>
      </c>
      <c r="C7" s="598" t="s">
        <v>78</v>
      </c>
      <c r="D7" s="599"/>
      <c r="E7" s="39">
        <v>52.86</v>
      </c>
      <c r="F7" s="309">
        <v>1797</v>
      </c>
      <c r="G7" s="301">
        <f t="shared" si="0"/>
        <v>94989.42</v>
      </c>
      <c r="H7" s="48" t="s">
        <v>126</v>
      </c>
      <c r="I7" s="307">
        <v>16</v>
      </c>
      <c r="J7" s="43">
        <v>2000</v>
      </c>
      <c r="K7" s="18">
        <f t="shared" si="1"/>
        <v>125</v>
      </c>
      <c r="L7" s="307">
        <v>16</v>
      </c>
      <c r="M7" s="19">
        <f t="shared" si="2"/>
        <v>1925.3571428571443</v>
      </c>
      <c r="N7" s="18">
        <f t="shared" si="3"/>
        <v>120.33482142857152</v>
      </c>
      <c r="O7" s="20">
        <f t="shared" si="4"/>
        <v>0</v>
      </c>
      <c r="P7" s="21">
        <f t="shared" si="5"/>
        <v>-4.6651785714284841</v>
      </c>
      <c r="Q7" s="305">
        <f t="shared" si="6"/>
        <v>0.96267857142857216</v>
      </c>
      <c r="R7" s="573"/>
      <c r="S7" s="49">
        <v>0.79236111111111107</v>
      </c>
      <c r="T7" s="49">
        <v>0.83124999999999993</v>
      </c>
      <c r="U7" s="301">
        <f t="shared" si="10"/>
        <v>6.9999999999999751</v>
      </c>
      <c r="V7" s="308">
        <f t="shared" si="7"/>
        <v>55.999999999999957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-74.642857142855746</v>
      </c>
      <c r="AF7" s="305">
        <f t="shared" si="9"/>
        <v>0.96267857142857216</v>
      </c>
      <c r="AG7" s="573"/>
    </row>
    <row r="8" spans="1:33">
      <c r="A8" s="606" t="s">
        <v>1812</v>
      </c>
      <c r="B8" s="39" t="s">
        <v>1813</v>
      </c>
      <c r="C8" s="576"/>
      <c r="D8" s="576"/>
      <c r="E8" s="306"/>
      <c r="F8" s="42"/>
      <c r="G8" s="18"/>
      <c r="H8" s="309"/>
      <c r="I8" s="32">
        <v>16</v>
      </c>
      <c r="J8" s="43">
        <v>2000</v>
      </c>
      <c r="K8" s="18">
        <f t="shared" si="1"/>
        <v>125</v>
      </c>
      <c r="L8" s="32">
        <v>16</v>
      </c>
      <c r="M8" s="19">
        <f>AVERAGE(M5:M7)</f>
        <v>1923.3106805475238</v>
      </c>
      <c r="N8" s="18">
        <f t="shared" si="3"/>
        <v>120.20691753422024</v>
      </c>
      <c r="O8" s="20">
        <f t="shared" si="4"/>
        <v>0</v>
      </c>
      <c r="P8" s="21">
        <f t="shared" si="5"/>
        <v>-4.7930824657797615</v>
      </c>
      <c r="Q8" s="305">
        <f t="shared" si="6"/>
        <v>0.96165534027376187</v>
      </c>
      <c r="R8" s="573"/>
      <c r="S8" s="49"/>
      <c r="T8" s="49"/>
      <c r="U8" s="301"/>
      <c r="V8" s="308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-76.689319452476184</v>
      </c>
      <c r="AF8" s="305">
        <f t="shared" si="9"/>
        <v>0.96165534027376187</v>
      </c>
      <c r="AG8" s="573"/>
    </row>
    <row r="9" spans="1:33" ht="15.75" customHeight="1">
      <c r="A9" s="602" t="s">
        <v>1814</v>
      </c>
      <c r="B9" s="39" t="s">
        <v>79</v>
      </c>
      <c r="C9" s="598" t="s">
        <v>80</v>
      </c>
      <c r="D9" s="599"/>
      <c r="E9" s="39">
        <v>39.619999999999997</v>
      </c>
      <c r="F9" s="309">
        <v>5714</v>
      </c>
      <c r="G9" s="301">
        <f t="shared" ref="G9:G11" si="11">E9*F9</f>
        <v>226388.68</v>
      </c>
      <c r="H9" s="48" t="s">
        <v>126</v>
      </c>
      <c r="I9" s="307">
        <v>19</v>
      </c>
      <c r="J9" s="43">
        <v>1500</v>
      </c>
      <c r="K9" s="18">
        <f t="shared" si="1"/>
        <v>78.94736842105263</v>
      </c>
      <c r="L9" s="307">
        <v>19</v>
      </c>
      <c r="M9" s="19">
        <f t="shared" ref="M9:M11" si="12">F9/V9*60</f>
        <v>1428.5</v>
      </c>
      <c r="N9" s="18">
        <f t="shared" si="3"/>
        <v>75.184210526315795</v>
      </c>
      <c r="O9" s="20">
        <f t="shared" si="4"/>
        <v>0</v>
      </c>
      <c r="P9" s="21">
        <f t="shared" si="5"/>
        <v>-3.7631578947368354</v>
      </c>
      <c r="Q9" s="305">
        <f t="shared" si="6"/>
        <v>0.95233333333333337</v>
      </c>
      <c r="R9" s="573">
        <f>Q12</f>
        <v>0.95229327377603235</v>
      </c>
      <c r="S9" s="49">
        <v>0.20833333333333334</v>
      </c>
      <c r="T9" s="49">
        <v>0.375</v>
      </c>
      <c r="U9" s="301"/>
      <c r="V9" s="308">
        <f t="shared" ref="V9:V11" si="13">(T9-S9)*24*60</f>
        <v>240</v>
      </c>
      <c r="W9" s="25"/>
      <c r="X9" s="25"/>
      <c r="Y9" s="25"/>
      <c r="Z9" s="25"/>
      <c r="AA9" s="575"/>
      <c r="AB9" s="575"/>
      <c r="AC9" s="50">
        <v>3</v>
      </c>
      <c r="AD9" s="27"/>
      <c r="AE9" s="20">
        <f t="shared" si="8"/>
        <v>-71.5</v>
      </c>
      <c r="AF9" s="305">
        <f t="shared" si="9"/>
        <v>0.95233333333333337</v>
      </c>
      <c r="AG9" s="573">
        <f>AF12</f>
        <v>0.95229327377603235</v>
      </c>
    </row>
    <row r="10" spans="1:33" ht="15.75" customHeight="1">
      <c r="A10" s="602" t="s">
        <v>47</v>
      </c>
      <c r="B10" s="39" t="s">
        <v>79</v>
      </c>
      <c r="C10" s="598" t="s">
        <v>81</v>
      </c>
      <c r="D10" s="599"/>
      <c r="E10" s="39">
        <v>39.799999999999997</v>
      </c>
      <c r="F10" s="309">
        <v>3400</v>
      </c>
      <c r="G10" s="301">
        <f t="shared" si="11"/>
        <v>135320</v>
      </c>
      <c r="H10" s="48">
        <v>2</v>
      </c>
      <c r="I10" s="307">
        <v>17</v>
      </c>
      <c r="J10" s="43">
        <v>1500</v>
      </c>
      <c r="K10" s="18">
        <f t="shared" si="1"/>
        <v>88.235294117647058</v>
      </c>
      <c r="L10" s="307">
        <v>17</v>
      </c>
      <c r="M10" s="19">
        <f t="shared" si="12"/>
        <v>1426.5734265734268</v>
      </c>
      <c r="N10" s="18">
        <f t="shared" si="3"/>
        <v>83.916083916083934</v>
      </c>
      <c r="O10" s="20">
        <f t="shared" si="4"/>
        <v>0</v>
      </c>
      <c r="P10" s="21">
        <f t="shared" si="5"/>
        <v>-4.3192102015631235</v>
      </c>
      <c r="Q10" s="305">
        <f t="shared" si="6"/>
        <v>0.95104895104895126</v>
      </c>
      <c r="R10" s="573"/>
      <c r="S10" s="49">
        <v>0.37847222222222221</v>
      </c>
      <c r="T10" s="49">
        <v>0.47777777777777775</v>
      </c>
      <c r="U10" s="301">
        <f t="shared" ref="U10:U11" si="14">IF(S10=TIME(17,0,0),"",(S10-T9)*24*60)</f>
        <v>4.9999999999999822</v>
      </c>
      <c r="V10" s="308">
        <f t="shared" si="13"/>
        <v>142.99999999999997</v>
      </c>
      <c r="W10" s="25">
        <f>T10</f>
        <v>0.47777777777777775</v>
      </c>
      <c r="X10" s="25">
        <f>S11</f>
        <v>0.51805555555555549</v>
      </c>
      <c r="Y10" s="25"/>
      <c r="Z10" s="25"/>
      <c r="AA10" s="575"/>
      <c r="AB10" s="575"/>
      <c r="AC10" s="50"/>
      <c r="AD10" s="27"/>
      <c r="AE10" s="20">
        <f t="shared" si="8"/>
        <v>-73.426573426573214</v>
      </c>
      <c r="AF10" s="305">
        <f t="shared" si="9"/>
        <v>0.95104895104895115</v>
      </c>
      <c r="AG10" s="573"/>
    </row>
    <row r="11" spans="1:33" ht="15.75" customHeight="1">
      <c r="A11" s="602" t="s">
        <v>1815</v>
      </c>
      <c r="B11" s="39" t="s">
        <v>79</v>
      </c>
      <c r="C11" s="598" t="s">
        <v>81</v>
      </c>
      <c r="D11" s="599"/>
      <c r="E11" s="39">
        <v>39.799999999999997</v>
      </c>
      <c r="F11" s="309">
        <v>4839</v>
      </c>
      <c r="G11" s="301">
        <f t="shared" si="11"/>
        <v>192592.19999999998</v>
      </c>
      <c r="H11" s="48" t="s">
        <v>126</v>
      </c>
      <c r="I11" s="307">
        <v>17</v>
      </c>
      <c r="J11" s="43">
        <v>1500</v>
      </c>
      <c r="K11" s="18">
        <f t="shared" si="1"/>
        <v>88.235294117647058</v>
      </c>
      <c r="L11" s="307">
        <v>17</v>
      </c>
      <c r="M11" s="19">
        <f t="shared" si="12"/>
        <v>1430.2463054187185</v>
      </c>
      <c r="N11" s="18">
        <f t="shared" si="3"/>
        <v>84.132135612865795</v>
      </c>
      <c r="O11" s="20">
        <f t="shared" si="4"/>
        <v>0</v>
      </c>
      <c r="P11" s="21">
        <f t="shared" si="5"/>
        <v>-4.1031585047812626</v>
      </c>
      <c r="Q11" s="305">
        <f t="shared" si="6"/>
        <v>0.95349753694581241</v>
      </c>
      <c r="R11" s="573"/>
      <c r="S11" s="49">
        <v>0.51805555555555549</v>
      </c>
      <c r="T11" s="49">
        <v>0.65902777777777777</v>
      </c>
      <c r="U11" s="301">
        <f t="shared" si="14"/>
        <v>57.999999999999957</v>
      </c>
      <c r="V11" s="308">
        <f t="shared" si="13"/>
        <v>203.00000000000009</v>
      </c>
      <c r="W11" s="25"/>
      <c r="X11" s="25"/>
      <c r="Y11" s="25"/>
      <c r="Z11" s="25"/>
      <c r="AA11" s="575"/>
      <c r="AB11" s="575"/>
      <c r="AC11" s="50"/>
      <c r="AD11" s="27"/>
      <c r="AE11" s="20">
        <f t="shared" si="8"/>
        <v>-69.753694581281479</v>
      </c>
      <c r="AF11" s="305">
        <f t="shared" si="9"/>
        <v>0.9534975369458123</v>
      </c>
      <c r="AG11" s="573"/>
    </row>
    <row r="12" spans="1:33" ht="16.5" customHeight="1">
      <c r="A12" s="602" t="s">
        <v>1816</v>
      </c>
      <c r="B12" s="39" t="s">
        <v>1813</v>
      </c>
      <c r="C12" s="576"/>
      <c r="D12" s="576"/>
      <c r="E12" s="306"/>
      <c r="F12" s="43"/>
      <c r="G12" s="19"/>
      <c r="H12" s="309"/>
      <c r="I12" s="32">
        <v>17.666666666666668</v>
      </c>
      <c r="J12" s="43">
        <v>1500</v>
      </c>
      <c r="K12" s="18">
        <f t="shared" si="1"/>
        <v>84.905660377358487</v>
      </c>
      <c r="L12" s="32">
        <v>17.666666666666668</v>
      </c>
      <c r="M12" s="19">
        <f>AVERAGE(M9:M11)</f>
        <v>1428.4399106640485</v>
      </c>
      <c r="N12" s="18">
        <f t="shared" si="3"/>
        <v>80.855089282870665</v>
      </c>
      <c r="O12" s="20">
        <f t="shared" si="4"/>
        <v>0</v>
      </c>
      <c r="P12" s="21">
        <f t="shared" si="5"/>
        <v>-4.0505710944878217</v>
      </c>
      <c r="Q12" s="305">
        <f t="shared" si="6"/>
        <v>0.95229327377603235</v>
      </c>
      <c r="R12" s="573"/>
      <c r="S12" s="49"/>
      <c r="T12" s="49"/>
      <c r="U12" s="18"/>
      <c r="V12" s="308"/>
      <c r="W12" s="18"/>
      <c r="X12" s="18"/>
      <c r="Y12" s="33">
        <f>SUM(Y9:Y11)</f>
        <v>0</v>
      </c>
      <c r="Z12" s="33">
        <f>SUM(Z9:Z11)</f>
        <v>0</v>
      </c>
      <c r="AA12" s="572"/>
      <c r="AB12" s="572"/>
      <c r="AC12" s="33">
        <v>3</v>
      </c>
      <c r="AD12" s="33">
        <f>SUM(AD9:AD11)</f>
        <v>0</v>
      </c>
      <c r="AE12" s="20">
        <f t="shared" si="8"/>
        <v>-71.560089335951488</v>
      </c>
      <c r="AF12" s="305">
        <f t="shared" si="9"/>
        <v>0.95229327377603235</v>
      </c>
      <c r="AG12" s="573"/>
    </row>
    <row r="13" spans="1:33" ht="16.5" customHeight="1">
      <c r="A13" s="600" t="s">
        <v>1817</v>
      </c>
      <c r="B13" s="309" t="s">
        <v>82</v>
      </c>
      <c r="C13" s="594" t="s">
        <v>83</v>
      </c>
      <c r="D13" s="594"/>
      <c r="E13" s="39">
        <v>41</v>
      </c>
      <c r="F13" s="309">
        <v>1834</v>
      </c>
      <c r="G13" s="301">
        <f t="shared" ref="G13:G16" si="15">E13*F13</f>
        <v>75194</v>
      </c>
      <c r="H13" s="48" t="s">
        <v>126</v>
      </c>
      <c r="I13" s="307">
        <v>26</v>
      </c>
      <c r="J13" s="43">
        <v>1500</v>
      </c>
      <c r="K13" s="18">
        <f t="shared" si="1"/>
        <v>57.692307692307693</v>
      </c>
      <c r="L13" s="307">
        <v>26</v>
      </c>
      <c r="M13" s="19">
        <f t="shared" ref="M13:M16" si="16">F13/V13*60</f>
        <v>1429.090909090909</v>
      </c>
      <c r="N13" s="18">
        <f t="shared" si="3"/>
        <v>54.96503496503496</v>
      </c>
      <c r="O13" s="20">
        <f t="shared" si="4"/>
        <v>0</v>
      </c>
      <c r="P13" s="21">
        <f t="shared" si="5"/>
        <v>-2.7272727272727337</v>
      </c>
      <c r="Q13" s="305">
        <f t="shared" si="6"/>
        <v>0.95272727272727264</v>
      </c>
      <c r="R13" s="573">
        <f>Q17</f>
        <v>0.95419090978727261</v>
      </c>
      <c r="S13" s="49">
        <v>0.20833333333333334</v>
      </c>
      <c r="T13" s="49">
        <v>0.26180555555555557</v>
      </c>
      <c r="U13" s="301"/>
      <c r="V13" s="308">
        <f t="shared" ref="V13:V16" si="17">(T13-S13)*24*60</f>
        <v>77</v>
      </c>
      <c r="W13" s="30"/>
      <c r="X13" s="30"/>
      <c r="Y13" s="30"/>
      <c r="Z13" s="30"/>
      <c r="AA13" s="575"/>
      <c r="AB13" s="575"/>
      <c r="AC13" s="50">
        <v>4</v>
      </c>
      <c r="AD13" s="27"/>
      <c r="AE13" s="20">
        <f t="shared" si="8"/>
        <v>-70.909090909090992</v>
      </c>
      <c r="AF13" s="305">
        <f t="shared" si="9"/>
        <v>0.95272727272727264</v>
      </c>
      <c r="AG13" s="573">
        <f>AF17</f>
        <v>0.95419090978727261</v>
      </c>
    </row>
    <row r="14" spans="1:33" ht="16.5" customHeight="1">
      <c r="A14" s="601" t="s">
        <v>1817</v>
      </c>
      <c r="B14" s="309" t="s">
        <v>94</v>
      </c>
      <c r="C14" s="594" t="s">
        <v>103</v>
      </c>
      <c r="D14" s="594"/>
      <c r="E14" s="39">
        <v>20.2</v>
      </c>
      <c r="F14" s="309">
        <v>2803</v>
      </c>
      <c r="G14" s="301">
        <f t="shared" si="15"/>
        <v>56620.6</v>
      </c>
      <c r="H14" s="48" t="s">
        <v>126</v>
      </c>
      <c r="I14" s="307">
        <v>15</v>
      </c>
      <c r="J14" s="43">
        <v>2400</v>
      </c>
      <c r="K14" s="18">
        <f t="shared" si="1"/>
        <v>160</v>
      </c>
      <c r="L14" s="307">
        <v>15</v>
      </c>
      <c r="M14" s="19">
        <f t="shared" si="16"/>
        <v>2303.8356164383567</v>
      </c>
      <c r="N14" s="18">
        <f t="shared" si="3"/>
        <v>153.58904109589045</v>
      </c>
      <c r="O14" s="20">
        <f t="shared" si="4"/>
        <v>0</v>
      </c>
      <c r="P14" s="21">
        <f t="shared" si="5"/>
        <v>-6.4109589041095489</v>
      </c>
      <c r="Q14" s="305">
        <f t="shared" si="6"/>
        <v>0.95993150684931527</v>
      </c>
      <c r="R14" s="573"/>
      <c r="S14" s="49">
        <v>0.26527777777777778</v>
      </c>
      <c r="T14" s="49">
        <v>0.31597222222222221</v>
      </c>
      <c r="U14" s="301">
        <f t="shared" ref="U14:U16" si="18">IF(S14=TIME(17,0,0),"",(S14-T13)*24*60)</f>
        <v>4.9999999999999822</v>
      </c>
      <c r="V14" s="308">
        <f t="shared" si="17"/>
        <v>72.999999999999986</v>
      </c>
      <c r="W14" s="25"/>
      <c r="X14" s="25"/>
      <c r="Y14" s="25"/>
      <c r="Z14" s="25"/>
      <c r="AA14" s="575"/>
      <c r="AB14" s="575"/>
      <c r="AC14" s="50"/>
      <c r="AD14" s="27"/>
      <c r="AE14" s="20">
        <f t="shared" si="8"/>
        <v>-96.164383561643263</v>
      </c>
      <c r="AF14" s="305">
        <f t="shared" si="9"/>
        <v>0.95993150684931527</v>
      </c>
      <c r="AG14" s="573"/>
    </row>
    <row r="15" spans="1:33" ht="16.5" customHeight="1">
      <c r="A15" s="601" t="s">
        <v>1817</v>
      </c>
      <c r="B15" s="309" t="s">
        <v>74</v>
      </c>
      <c r="C15" s="594" t="s">
        <v>85</v>
      </c>
      <c r="D15" s="594"/>
      <c r="E15" s="39">
        <v>53.68</v>
      </c>
      <c r="F15" s="309">
        <v>1380</v>
      </c>
      <c r="G15" s="301">
        <f t="shared" si="15"/>
        <v>74078.399999999994</v>
      </c>
      <c r="H15" s="48" t="s">
        <v>126</v>
      </c>
      <c r="I15" s="307">
        <v>16</v>
      </c>
      <c r="J15" s="43">
        <v>1500</v>
      </c>
      <c r="K15" s="18">
        <f t="shared" si="1"/>
        <v>93.75</v>
      </c>
      <c r="L15" s="307">
        <v>16</v>
      </c>
      <c r="M15" s="19">
        <f t="shared" si="16"/>
        <v>1427.5862068965528</v>
      </c>
      <c r="N15" s="18">
        <f t="shared" si="3"/>
        <v>89.224137931034548</v>
      </c>
      <c r="O15" s="20">
        <f t="shared" si="4"/>
        <v>0</v>
      </c>
      <c r="P15" s="21">
        <f t="shared" si="5"/>
        <v>-4.5258620689654521</v>
      </c>
      <c r="Q15" s="305">
        <f t="shared" si="6"/>
        <v>0.95172413793103516</v>
      </c>
      <c r="R15" s="573"/>
      <c r="S15" s="49">
        <v>0.70833333333333337</v>
      </c>
      <c r="T15" s="49">
        <v>0.74861111111111112</v>
      </c>
      <c r="U15" s="301" t="str">
        <f t="shared" si="18"/>
        <v/>
      </c>
      <c r="V15" s="308">
        <f t="shared" si="17"/>
        <v>57.999999999999957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-72.413793103447233</v>
      </c>
      <c r="AF15" s="305">
        <f t="shared" si="9"/>
        <v>0.95172413793103516</v>
      </c>
      <c r="AG15" s="573"/>
    </row>
    <row r="16" spans="1:33" ht="16.5" customHeight="1">
      <c r="A16" s="601" t="s">
        <v>1818</v>
      </c>
      <c r="B16" s="309" t="s">
        <v>74</v>
      </c>
      <c r="C16" s="594" t="s">
        <v>86</v>
      </c>
      <c r="D16" s="594"/>
      <c r="E16" s="39">
        <v>50.92</v>
      </c>
      <c r="F16" s="309">
        <v>2534</v>
      </c>
      <c r="G16" s="301">
        <f t="shared" si="15"/>
        <v>129031.28</v>
      </c>
      <c r="H16" s="48" t="s">
        <v>126</v>
      </c>
      <c r="I16" s="307">
        <v>15</v>
      </c>
      <c r="J16" s="43">
        <v>2000</v>
      </c>
      <c r="K16" s="18">
        <f t="shared" si="1"/>
        <v>133.33333333333334</v>
      </c>
      <c r="L16" s="307">
        <v>15</v>
      </c>
      <c r="M16" s="19">
        <f t="shared" si="16"/>
        <v>1900.4999999999993</v>
      </c>
      <c r="N16" s="18">
        <f t="shared" si="3"/>
        <v>126.69999999999996</v>
      </c>
      <c r="O16" s="20">
        <f t="shared" si="4"/>
        <v>0</v>
      </c>
      <c r="P16" s="21">
        <f t="shared" si="5"/>
        <v>-6.6333333333333826</v>
      </c>
      <c r="Q16" s="305">
        <f t="shared" si="6"/>
        <v>0.95024999999999959</v>
      </c>
      <c r="R16" s="573"/>
      <c r="S16" s="49">
        <v>0.75208333333333333</v>
      </c>
      <c r="T16" s="49">
        <v>0.80763888888888891</v>
      </c>
      <c r="U16" s="301">
        <f t="shared" si="18"/>
        <v>4.9999999999999822</v>
      </c>
      <c r="V16" s="308">
        <f t="shared" si="17"/>
        <v>80.000000000000028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-99.500000000000682</v>
      </c>
      <c r="AF16" s="305">
        <f t="shared" si="9"/>
        <v>0.95024999999999971</v>
      </c>
      <c r="AG16" s="573"/>
    </row>
    <row r="17" spans="1:33" ht="16.5" customHeight="1">
      <c r="A17" s="601" t="s">
        <v>1817</v>
      </c>
      <c r="B17" s="39" t="s">
        <v>1813</v>
      </c>
      <c r="C17" s="576"/>
      <c r="D17" s="576"/>
      <c r="E17" s="306"/>
      <c r="F17" s="42"/>
      <c r="G17" s="18"/>
      <c r="H17" s="309"/>
      <c r="I17" s="32">
        <v>18</v>
      </c>
      <c r="J17" s="43">
        <v>1850</v>
      </c>
      <c r="K17" s="18">
        <f t="shared" si="1"/>
        <v>102.77777777777777</v>
      </c>
      <c r="L17" s="32">
        <v>18</v>
      </c>
      <c r="M17" s="19">
        <f>AVERAGE(M13:M16)</f>
        <v>1765.2531831064543</v>
      </c>
      <c r="N17" s="18">
        <f t="shared" si="3"/>
        <v>98.069621283691902</v>
      </c>
      <c r="O17" s="20">
        <f t="shared" si="4"/>
        <v>0</v>
      </c>
      <c r="P17" s="21">
        <f t="shared" si="5"/>
        <v>-4.7081564940858698</v>
      </c>
      <c r="Q17" s="305">
        <f t="shared" si="6"/>
        <v>0.95419090978727261</v>
      </c>
      <c r="R17" s="573"/>
      <c r="S17" s="49"/>
      <c r="T17" s="49"/>
      <c r="U17" s="301"/>
      <c r="V17" s="308"/>
      <c r="W17" s="18"/>
      <c r="X17" s="18"/>
      <c r="Y17" s="33">
        <f>SUM(Y13:Y16)</f>
        <v>0</v>
      </c>
      <c r="Z17" s="33">
        <f>SUM(Z13:Z16)</f>
        <v>0</v>
      </c>
      <c r="AA17" s="572"/>
      <c r="AB17" s="572"/>
      <c r="AC17" s="33">
        <v>4</v>
      </c>
      <c r="AD17" s="33">
        <f>SUM(AD13:AD16)</f>
        <v>0</v>
      </c>
      <c r="AE17" s="20">
        <f t="shared" si="8"/>
        <v>-84.746816893545656</v>
      </c>
      <c r="AF17" s="305">
        <f t="shared" si="9"/>
        <v>0.95419090978727261</v>
      </c>
      <c r="AG17" s="573"/>
    </row>
    <row r="18" spans="1:33" ht="15.75" customHeight="1">
      <c r="A18" s="596" t="s">
        <v>1819</v>
      </c>
      <c r="B18" s="39" t="s">
        <v>74</v>
      </c>
      <c r="C18" s="594" t="s">
        <v>84</v>
      </c>
      <c r="D18" s="594"/>
      <c r="E18" s="39">
        <v>54.09</v>
      </c>
      <c r="F18" s="309">
        <v>2278</v>
      </c>
      <c r="G18" s="301">
        <f t="shared" ref="G18:G23" si="19">E18*F18</f>
        <v>123217.02</v>
      </c>
      <c r="H18" s="48" t="s">
        <v>126</v>
      </c>
      <c r="I18" s="307">
        <v>17</v>
      </c>
      <c r="J18" s="43">
        <v>1500</v>
      </c>
      <c r="K18" s="18">
        <f t="shared" si="1"/>
        <v>88.235294117647058</v>
      </c>
      <c r="L18" s="307">
        <v>17</v>
      </c>
      <c r="M18" s="19">
        <f t="shared" ref="M18:M23" si="20">F18/V18*60</f>
        <v>1438.7368421052629</v>
      </c>
      <c r="N18" s="18">
        <f t="shared" si="3"/>
        <v>84.631578947368411</v>
      </c>
      <c r="O18" s="20">
        <f t="shared" si="4"/>
        <v>0</v>
      </c>
      <c r="P18" s="21">
        <f t="shared" si="5"/>
        <v>-3.6037151702786474</v>
      </c>
      <c r="Q18" s="305">
        <f t="shared" si="6"/>
        <v>0.95915789473684199</v>
      </c>
      <c r="R18" s="573">
        <f>Q24</f>
        <v>0.95803473420026708</v>
      </c>
      <c r="S18" s="49">
        <v>0.20833333333333334</v>
      </c>
      <c r="T18" s="49">
        <v>0.27430555555555558</v>
      </c>
      <c r="U18" s="301"/>
      <c r="V18" s="308">
        <f t="shared" ref="V18:V23" si="21">(T18-S18)*24*60</f>
        <v>95.000000000000028</v>
      </c>
      <c r="W18" s="30"/>
      <c r="X18" s="30"/>
      <c r="Y18" s="30"/>
      <c r="Z18" s="30"/>
      <c r="AA18" s="575"/>
      <c r="AB18" s="575"/>
      <c r="AC18" s="50">
        <v>6</v>
      </c>
      <c r="AD18" s="27"/>
      <c r="AE18" s="20">
        <f t="shared" si="8"/>
        <v>-61.263157894737105</v>
      </c>
      <c r="AF18" s="305">
        <f t="shared" si="9"/>
        <v>0.95915789473684188</v>
      </c>
      <c r="AG18" s="573">
        <f>AF24</f>
        <v>0.95803473420026708</v>
      </c>
    </row>
    <row r="19" spans="1:33" ht="15.75" customHeight="1">
      <c r="A19" s="597" t="s">
        <v>1819</v>
      </c>
      <c r="B19" s="39" t="s">
        <v>74</v>
      </c>
      <c r="C19" s="594" t="s">
        <v>89</v>
      </c>
      <c r="D19" s="594"/>
      <c r="E19" s="39">
        <v>50.67</v>
      </c>
      <c r="F19" s="309">
        <v>2480</v>
      </c>
      <c r="G19" s="301">
        <f t="shared" si="19"/>
        <v>125661.6</v>
      </c>
      <c r="H19" s="48" t="s">
        <v>126</v>
      </c>
      <c r="I19" s="307">
        <v>17</v>
      </c>
      <c r="J19" s="43">
        <v>2000</v>
      </c>
      <c r="K19" s="18">
        <f t="shared" si="1"/>
        <v>117.64705882352941</v>
      </c>
      <c r="L19" s="307">
        <v>17</v>
      </c>
      <c r="M19" s="19">
        <f t="shared" si="20"/>
        <v>1907.6923076923067</v>
      </c>
      <c r="N19" s="18">
        <f t="shared" si="3"/>
        <v>112.21719457013569</v>
      </c>
      <c r="O19" s="20">
        <f t="shared" si="4"/>
        <v>0</v>
      </c>
      <c r="P19" s="21">
        <f t="shared" si="5"/>
        <v>-5.4298642533937169</v>
      </c>
      <c r="Q19" s="305">
        <f t="shared" si="6"/>
        <v>0.95384615384615346</v>
      </c>
      <c r="R19" s="573"/>
      <c r="S19" s="49">
        <v>0.27986111111111112</v>
      </c>
      <c r="T19" s="49">
        <v>0.33402777777777781</v>
      </c>
      <c r="U19" s="301">
        <f t="shared" ref="U19:U23" si="22">IF(S19=TIME(17,0,0),"",(S19-T18)*24*60)</f>
        <v>7.9999999999999716</v>
      </c>
      <c r="V19" s="308">
        <f t="shared" si="21"/>
        <v>78.000000000000043</v>
      </c>
      <c r="W19" s="25"/>
      <c r="X19" s="301"/>
      <c r="Y19" s="301"/>
      <c r="Z19" s="301"/>
      <c r="AA19" s="575"/>
      <c r="AB19" s="575"/>
      <c r="AC19" s="50"/>
      <c r="AD19" s="27"/>
      <c r="AE19" s="20">
        <f t="shared" si="8"/>
        <v>-92.307692307693287</v>
      </c>
      <c r="AF19" s="305">
        <f t="shared" si="9"/>
        <v>0.95384615384615334</v>
      </c>
      <c r="AG19" s="573"/>
    </row>
    <row r="20" spans="1:33" ht="15.75" customHeight="1">
      <c r="A20" s="597" t="s">
        <v>1820</v>
      </c>
      <c r="B20" s="39" t="s">
        <v>74</v>
      </c>
      <c r="C20" s="594" t="s">
        <v>90</v>
      </c>
      <c r="D20" s="594"/>
      <c r="E20" s="39">
        <v>57.73</v>
      </c>
      <c r="F20" s="309">
        <v>2822</v>
      </c>
      <c r="G20" s="301">
        <f t="shared" si="19"/>
        <v>162914.06</v>
      </c>
      <c r="H20" s="48" t="s">
        <v>126</v>
      </c>
      <c r="I20" s="307">
        <v>14</v>
      </c>
      <c r="J20" s="43">
        <v>2000</v>
      </c>
      <c r="K20" s="18">
        <f t="shared" si="1"/>
        <v>142.85714285714286</v>
      </c>
      <c r="L20" s="307">
        <v>14</v>
      </c>
      <c r="M20" s="19">
        <f t="shared" si="20"/>
        <v>1924.0909090909092</v>
      </c>
      <c r="N20" s="18">
        <f t="shared" si="3"/>
        <v>137.43506493506496</v>
      </c>
      <c r="O20" s="20">
        <f t="shared" si="4"/>
        <v>0</v>
      </c>
      <c r="P20" s="21">
        <f t="shared" si="5"/>
        <v>-5.4220779220779036</v>
      </c>
      <c r="Q20" s="305">
        <f t="shared" si="6"/>
        <v>0.96204545454545465</v>
      </c>
      <c r="R20" s="573"/>
      <c r="S20" s="49">
        <v>0.33958333333333335</v>
      </c>
      <c r="T20" s="49">
        <v>0.40069444444444446</v>
      </c>
      <c r="U20" s="301">
        <f t="shared" si="22"/>
        <v>7.9999999999999716</v>
      </c>
      <c r="V20" s="308">
        <f t="shared" si="21"/>
        <v>88</v>
      </c>
      <c r="W20" s="25"/>
      <c r="X20" s="301"/>
      <c r="Y20" s="301"/>
      <c r="Z20" s="301"/>
      <c r="AA20" s="575"/>
      <c r="AB20" s="575"/>
      <c r="AC20" s="50"/>
      <c r="AD20" s="27"/>
      <c r="AE20" s="20">
        <f t="shared" si="8"/>
        <v>-75.909090909090764</v>
      </c>
      <c r="AF20" s="305">
        <f t="shared" si="9"/>
        <v>0.96204545454545465</v>
      </c>
      <c r="AG20" s="573"/>
    </row>
    <row r="21" spans="1:33" ht="15.75" customHeight="1">
      <c r="A21" s="597" t="s">
        <v>1820</v>
      </c>
      <c r="B21" s="39" t="s">
        <v>74</v>
      </c>
      <c r="C21" s="594" t="s">
        <v>1232</v>
      </c>
      <c r="D21" s="594"/>
      <c r="E21" s="39">
        <v>53.27</v>
      </c>
      <c r="F21" s="309">
        <v>3549</v>
      </c>
      <c r="G21" s="301">
        <f t="shared" si="19"/>
        <v>189055.23</v>
      </c>
      <c r="H21" s="48" t="s">
        <v>126</v>
      </c>
      <c r="I21" s="307">
        <v>16</v>
      </c>
      <c r="J21" s="43">
        <v>2000</v>
      </c>
      <c r="K21" s="18">
        <f t="shared" si="1"/>
        <v>125</v>
      </c>
      <c r="L21" s="307">
        <v>16</v>
      </c>
      <c r="M21" s="19">
        <f t="shared" si="20"/>
        <v>1918.3783783783783</v>
      </c>
      <c r="N21" s="18">
        <f t="shared" si="3"/>
        <v>119.89864864864865</v>
      </c>
      <c r="O21" s="20">
        <f t="shared" si="4"/>
        <v>0</v>
      </c>
      <c r="P21" s="21">
        <f t="shared" si="5"/>
        <v>-5.1013513513513544</v>
      </c>
      <c r="Q21" s="305">
        <f t="shared" si="6"/>
        <v>0.95918918918918916</v>
      </c>
      <c r="R21" s="573"/>
      <c r="S21" s="49">
        <v>0.40486111111111112</v>
      </c>
      <c r="T21" s="49">
        <v>0.48194444444444445</v>
      </c>
      <c r="U21" s="301">
        <f t="shared" si="22"/>
        <v>5.9999999999999787</v>
      </c>
      <c r="V21" s="308">
        <f t="shared" si="21"/>
        <v>111</v>
      </c>
      <c r="W21" s="25"/>
      <c r="X21" s="301"/>
      <c r="Y21" s="301"/>
      <c r="Z21" s="301"/>
      <c r="AA21" s="575"/>
      <c r="AB21" s="575"/>
      <c r="AC21" s="50"/>
      <c r="AD21" s="27"/>
      <c r="AE21" s="20">
        <f t="shared" si="8"/>
        <v>-81.621621621621671</v>
      </c>
      <c r="AF21" s="305">
        <f t="shared" si="9"/>
        <v>0.95918918918918916</v>
      </c>
      <c r="AG21" s="573"/>
    </row>
    <row r="22" spans="1:33" ht="15.75" customHeight="1">
      <c r="A22" s="597" t="s">
        <v>53</v>
      </c>
      <c r="B22" s="39" t="s">
        <v>74</v>
      </c>
      <c r="C22" s="594" t="s">
        <v>92</v>
      </c>
      <c r="D22" s="594"/>
      <c r="E22" s="39">
        <v>50.49</v>
      </c>
      <c r="F22" s="309">
        <v>2266</v>
      </c>
      <c r="G22" s="301">
        <f t="shared" si="19"/>
        <v>114410.34000000001</v>
      </c>
      <c r="H22" s="48" t="s">
        <v>126</v>
      </c>
      <c r="I22" s="307">
        <v>15</v>
      </c>
      <c r="J22" s="43">
        <v>2000</v>
      </c>
      <c r="K22" s="18">
        <f t="shared" si="1"/>
        <v>133.33333333333334</v>
      </c>
      <c r="L22" s="307">
        <v>15</v>
      </c>
      <c r="M22" s="19">
        <f t="shared" si="20"/>
        <v>1914.9295774647869</v>
      </c>
      <c r="N22" s="18">
        <f t="shared" si="3"/>
        <v>127.66197183098579</v>
      </c>
      <c r="O22" s="20">
        <f t="shared" si="4"/>
        <v>0</v>
      </c>
      <c r="P22" s="21">
        <f t="shared" si="5"/>
        <v>-5.6713615023475512</v>
      </c>
      <c r="Q22" s="305">
        <f t="shared" si="6"/>
        <v>0.95746478873239338</v>
      </c>
      <c r="R22" s="573"/>
      <c r="S22" s="49">
        <v>0.70833333333333337</v>
      </c>
      <c r="T22" s="49">
        <v>0.75763888888888897</v>
      </c>
      <c r="U22" s="301" t="str">
        <f t="shared" si="22"/>
        <v/>
      </c>
      <c r="V22" s="308">
        <f t="shared" si="21"/>
        <v>71.000000000000071</v>
      </c>
      <c r="W22" s="25"/>
      <c r="X22" s="25"/>
      <c r="Y22" s="301"/>
      <c r="Z22" s="301"/>
      <c r="AA22" s="575"/>
      <c r="AB22" s="575"/>
      <c r="AC22" s="50"/>
      <c r="AD22" s="27"/>
      <c r="AE22" s="20">
        <f t="shared" si="8"/>
        <v>-85.070422535213083</v>
      </c>
      <c r="AF22" s="305">
        <f t="shared" si="9"/>
        <v>0.95746478873239349</v>
      </c>
      <c r="AG22" s="573"/>
    </row>
    <row r="23" spans="1:33" ht="15.75" customHeight="1">
      <c r="A23" s="597" t="s">
        <v>1819</v>
      </c>
      <c r="B23" s="39" t="s">
        <v>74</v>
      </c>
      <c r="C23" s="594" t="s">
        <v>93</v>
      </c>
      <c r="D23" s="594"/>
      <c r="E23" s="39">
        <v>50.98</v>
      </c>
      <c r="F23" s="309">
        <v>2679</v>
      </c>
      <c r="G23" s="301">
        <f t="shared" si="19"/>
        <v>136575.41999999998</v>
      </c>
      <c r="H23" s="48" t="s">
        <v>126</v>
      </c>
      <c r="I23" s="307">
        <v>16</v>
      </c>
      <c r="J23" s="43">
        <v>2000</v>
      </c>
      <c r="K23" s="18">
        <f t="shared" si="1"/>
        <v>125</v>
      </c>
      <c r="L23" s="307">
        <v>16</v>
      </c>
      <c r="M23" s="19">
        <f t="shared" si="20"/>
        <v>1913.571428571428</v>
      </c>
      <c r="N23" s="18">
        <f t="shared" si="3"/>
        <v>119.59821428571425</v>
      </c>
      <c r="O23" s="20">
        <f t="shared" si="4"/>
        <v>0</v>
      </c>
      <c r="P23" s="21">
        <f t="shared" si="5"/>
        <v>-5.4017857142857508</v>
      </c>
      <c r="Q23" s="305">
        <f t="shared" si="6"/>
        <v>0.95678571428571402</v>
      </c>
      <c r="R23" s="573"/>
      <c r="S23" s="49">
        <v>0.76319444444444451</v>
      </c>
      <c r="T23" s="49">
        <v>0.82152777777777786</v>
      </c>
      <c r="U23" s="301">
        <f t="shared" si="22"/>
        <v>7.9999999999999716</v>
      </c>
      <c r="V23" s="308">
        <f t="shared" si="21"/>
        <v>84.000000000000028</v>
      </c>
      <c r="W23" s="25"/>
      <c r="X23" s="30"/>
      <c r="Y23" s="30"/>
      <c r="Z23" s="30"/>
      <c r="AA23" s="575"/>
      <c r="AB23" s="575"/>
      <c r="AC23" s="50"/>
      <c r="AD23" s="27"/>
      <c r="AE23" s="20">
        <f t="shared" si="8"/>
        <v>-86.428571428572013</v>
      </c>
      <c r="AF23" s="305">
        <f t="shared" si="9"/>
        <v>0.95678571428571402</v>
      </c>
      <c r="AG23" s="573"/>
    </row>
    <row r="24" spans="1:33" ht="15.75" customHeight="1">
      <c r="A24" s="597" t="s">
        <v>1819</v>
      </c>
      <c r="B24" s="39" t="s">
        <v>1821</v>
      </c>
      <c r="C24" s="576"/>
      <c r="D24" s="576"/>
      <c r="E24" s="306"/>
      <c r="F24" s="309"/>
      <c r="G24" s="301"/>
      <c r="H24" s="309"/>
      <c r="I24" s="32">
        <v>15.833333333333334</v>
      </c>
      <c r="J24" s="43">
        <v>1916.6666666666667</v>
      </c>
      <c r="K24" s="18">
        <f t="shared" si="1"/>
        <v>121.05263157894737</v>
      </c>
      <c r="L24" s="32">
        <v>15.833333333333334</v>
      </c>
      <c r="M24" s="19">
        <f>AVERAGE(M18:M23)</f>
        <v>1836.2332405505119</v>
      </c>
      <c r="N24" s="18">
        <f t="shared" si="3"/>
        <v>115.9726257189797</v>
      </c>
      <c r="O24" s="20">
        <f t="shared" si="4"/>
        <v>0</v>
      </c>
      <c r="P24" s="21">
        <f t="shared" si="5"/>
        <v>-5.0800058599676703</v>
      </c>
      <c r="Q24" s="305">
        <f t="shared" si="6"/>
        <v>0.95803473420026708</v>
      </c>
      <c r="R24" s="573"/>
      <c r="S24" s="49"/>
      <c r="T24" s="49"/>
      <c r="U24" s="18"/>
      <c r="V24" s="308"/>
      <c r="W24" s="18"/>
      <c r="X24" s="18"/>
      <c r="Y24" s="33">
        <f>SUM(Y18:Y23)</f>
        <v>0</v>
      </c>
      <c r="Z24" s="33">
        <f>SUM(Z18:Z23)</f>
        <v>0</v>
      </c>
      <c r="AA24" s="572"/>
      <c r="AB24" s="572"/>
      <c r="AC24" s="33">
        <v>6</v>
      </c>
      <c r="AD24" s="33">
        <f>SUM(AD18:AD23)</f>
        <v>0</v>
      </c>
      <c r="AE24" s="20">
        <f t="shared" si="8"/>
        <v>-80.433426116154806</v>
      </c>
      <c r="AF24" s="305">
        <f t="shared" si="9"/>
        <v>0.95803473420026708</v>
      </c>
      <c r="AG24" s="573"/>
    </row>
    <row r="25" spans="1:33" ht="15.75" customHeight="1">
      <c r="A25" s="595" t="s">
        <v>1822</v>
      </c>
      <c r="B25" s="39" t="s">
        <v>94</v>
      </c>
      <c r="C25" s="594" t="s">
        <v>95</v>
      </c>
      <c r="D25" s="594"/>
      <c r="E25" s="39">
        <v>31.29</v>
      </c>
      <c r="F25" s="309">
        <v>6800</v>
      </c>
      <c r="G25" s="301">
        <f t="shared" ref="G25:G31" si="23">E25*F25</f>
        <v>212772</v>
      </c>
      <c r="H25" s="48">
        <v>2</v>
      </c>
      <c r="I25" s="307">
        <v>18</v>
      </c>
      <c r="J25" s="43">
        <v>2400</v>
      </c>
      <c r="K25" s="18">
        <f t="shared" si="1"/>
        <v>133.33333333333334</v>
      </c>
      <c r="L25" s="307">
        <v>18</v>
      </c>
      <c r="M25" s="19">
        <f t="shared" ref="M25:M31" si="24">F25/V25*60</f>
        <v>2292.1348314606744</v>
      </c>
      <c r="N25" s="18">
        <f t="shared" si="3"/>
        <v>127.34082397003746</v>
      </c>
      <c r="O25" s="20">
        <f t="shared" si="4"/>
        <v>0</v>
      </c>
      <c r="P25" s="21">
        <f t="shared" si="5"/>
        <v>-5.9925093632958806</v>
      </c>
      <c r="Q25" s="305">
        <f t="shared" si="6"/>
        <v>0.9550561797752809</v>
      </c>
      <c r="R25" s="573">
        <f>Q32</f>
        <v>0.95421776161285787</v>
      </c>
      <c r="S25" s="49">
        <v>8.3333333333333329E-2</v>
      </c>
      <c r="T25" s="49">
        <v>0.20694444444444443</v>
      </c>
      <c r="U25" s="301"/>
      <c r="V25" s="308">
        <f t="shared" ref="V25:V31" si="25">(T25-S25)*24*60</f>
        <v>177.99999999999997</v>
      </c>
      <c r="W25" s="25">
        <f>T25</f>
        <v>0.20694444444444443</v>
      </c>
      <c r="X25" s="25">
        <f>S26</f>
        <v>0.22638888888888889</v>
      </c>
      <c r="Y25" s="25"/>
      <c r="Z25" s="25"/>
      <c r="AA25" s="575"/>
      <c r="AB25" s="575"/>
      <c r="AC25" s="50">
        <v>7</v>
      </c>
      <c r="AD25" s="27"/>
      <c r="AE25" s="20">
        <f t="shared" si="8"/>
        <v>-107.86516853932562</v>
      </c>
      <c r="AF25" s="305">
        <f t="shared" si="9"/>
        <v>0.95505617977528101</v>
      </c>
      <c r="AG25" s="573">
        <f>AF32</f>
        <v>0.95421776161285776</v>
      </c>
    </row>
    <row r="26" spans="1:33" ht="15.75" customHeight="1">
      <c r="A26" s="595" t="s">
        <v>55</v>
      </c>
      <c r="B26" s="39" t="s">
        <v>94</v>
      </c>
      <c r="C26" s="594" t="s">
        <v>97</v>
      </c>
      <c r="D26" s="594"/>
      <c r="E26" s="39">
        <v>26.37</v>
      </c>
      <c r="F26" s="309">
        <v>4800</v>
      </c>
      <c r="G26" s="301">
        <f t="shared" si="23"/>
        <v>126576</v>
      </c>
      <c r="H26" s="48">
        <v>2</v>
      </c>
      <c r="I26" s="307">
        <v>18</v>
      </c>
      <c r="J26" s="43">
        <v>2400</v>
      </c>
      <c r="K26" s="18">
        <f t="shared" si="1"/>
        <v>133.33333333333334</v>
      </c>
      <c r="L26" s="307">
        <v>18</v>
      </c>
      <c r="M26" s="19">
        <f t="shared" si="24"/>
        <v>2285.7142857142862</v>
      </c>
      <c r="N26" s="18">
        <f t="shared" si="3"/>
        <v>126.98412698412702</v>
      </c>
      <c r="O26" s="20">
        <f t="shared" si="4"/>
        <v>0</v>
      </c>
      <c r="P26" s="21">
        <f t="shared" si="5"/>
        <v>-6.3492063492063266</v>
      </c>
      <c r="Q26" s="305">
        <f t="shared" si="6"/>
        <v>0.95238095238095255</v>
      </c>
      <c r="R26" s="573"/>
      <c r="S26" s="49">
        <v>0.22638888888888889</v>
      </c>
      <c r="T26" s="49">
        <v>0.31388888888888888</v>
      </c>
      <c r="U26" s="301">
        <f t="shared" ref="U26:U31" si="26">(S26-T25)*24*60</f>
        <v>28.000000000000021</v>
      </c>
      <c r="V26" s="308">
        <f t="shared" si="25"/>
        <v>125.99999999999997</v>
      </c>
      <c r="W26" s="25"/>
      <c r="X26" s="25"/>
      <c r="Y26" s="25"/>
      <c r="Z26" s="25"/>
      <c r="AA26" s="575"/>
      <c r="AB26" s="575"/>
      <c r="AC26" s="50"/>
      <c r="AD26" s="27"/>
      <c r="AE26" s="20">
        <f t="shared" si="8"/>
        <v>-114.28571428571377</v>
      </c>
      <c r="AF26" s="305">
        <f t="shared" si="9"/>
        <v>0.95238095238095255</v>
      </c>
      <c r="AG26" s="573"/>
    </row>
    <row r="27" spans="1:33" ht="15.75" customHeight="1">
      <c r="A27" s="595" t="s">
        <v>55</v>
      </c>
      <c r="B27" s="39" t="s">
        <v>94</v>
      </c>
      <c r="C27" s="594" t="s">
        <v>529</v>
      </c>
      <c r="D27" s="594"/>
      <c r="E27" s="39">
        <v>26.18</v>
      </c>
      <c r="F27" s="309">
        <v>5300</v>
      </c>
      <c r="G27" s="301">
        <f t="shared" si="23"/>
        <v>138754</v>
      </c>
      <c r="H27" s="48">
        <v>2</v>
      </c>
      <c r="I27" s="307">
        <v>19</v>
      </c>
      <c r="J27" s="43">
        <v>2400</v>
      </c>
      <c r="K27" s="18">
        <f t="shared" si="1"/>
        <v>126.31578947368421</v>
      </c>
      <c r="L27" s="307">
        <v>19</v>
      </c>
      <c r="M27" s="19">
        <f t="shared" si="24"/>
        <v>2287.7697841726617</v>
      </c>
      <c r="N27" s="18">
        <f t="shared" si="3"/>
        <v>120.40893600908745</v>
      </c>
      <c r="O27" s="20">
        <f t="shared" si="4"/>
        <v>0</v>
      </c>
      <c r="P27" s="21">
        <f t="shared" si="5"/>
        <v>-5.9068534645967503</v>
      </c>
      <c r="Q27" s="305">
        <f t="shared" si="6"/>
        <v>0.9532374100719424</v>
      </c>
      <c r="R27" s="573"/>
      <c r="S27" s="49">
        <v>0.31944444444444442</v>
      </c>
      <c r="T27" s="49">
        <v>0.41597222222222219</v>
      </c>
      <c r="U27" s="301">
        <f t="shared" si="26"/>
        <v>7.9999999999999716</v>
      </c>
      <c r="V27" s="308">
        <f t="shared" si="25"/>
        <v>139</v>
      </c>
      <c r="W27" s="25"/>
      <c r="X27" s="25"/>
      <c r="Y27" s="25"/>
      <c r="Z27" s="25"/>
      <c r="AA27" s="575"/>
      <c r="AB27" s="575"/>
      <c r="AC27" s="50"/>
      <c r="AD27" s="27"/>
      <c r="AE27" s="20">
        <f t="shared" si="8"/>
        <v>-112.23021582733827</v>
      </c>
      <c r="AF27" s="305">
        <f t="shared" si="9"/>
        <v>0.9532374100719424</v>
      </c>
      <c r="AG27" s="573"/>
    </row>
    <row r="28" spans="1:33" ht="15.75" customHeight="1">
      <c r="A28" s="595" t="s">
        <v>1822</v>
      </c>
      <c r="B28" s="39" t="s">
        <v>94</v>
      </c>
      <c r="C28" s="594" t="s">
        <v>98</v>
      </c>
      <c r="D28" s="594"/>
      <c r="E28" s="39">
        <v>25.99</v>
      </c>
      <c r="F28" s="309">
        <v>5177</v>
      </c>
      <c r="G28" s="301">
        <f t="shared" si="23"/>
        <v>134550.22999999998</v>
      </c>
      <c r="H28" s="48" t="s">
        <v>126</v>
      </c>
      <c r="I28" s="307">
        <v>14</v>
      </c>
      <c r="J28" s="43">
        <v>2400</v>
      </c>
      <c r="K28" s="18">
        <f t="shared" si="1"/>
        <v>171.42857142857142</v>
      </c>
      <c r="L28" s="307">
        <v>14</v>
      </c>
      <c r="M28" s="19">
        <f t="shared" si="24"/>
        <v>2283.9705882352937</v>
      </c>
      <c r="N28" s="18">
        <f t="shared" si="3"/>
        <v>163.14075630252097</v>
      </c>
      <c r="O28" s="20">
        <f t="shared" si="4"/>
        <v>0</v>
      </c>
      <c r="P28" s="21">
        <f t="shared" si="5"/>
        <v>-8.2878151260504467</v>
      </c>
      <c r="Q28" s="305">
        <f t="shared" si="6"/>
        <v>0.95165441176470578</v>
      </c>
      <c r="R28" s="573"/>
      <c r="S28" s="49">
        <v>0.42013888888888884</v>
      </c>
      <c r="T28" s="49">
        <v>0.51458333333333328</v>
      </c>
      <c r="U28" s="301">
        <f t="shared" si="26"/>
        <v>5.9999999999999787</v>
      </c>
      <c r="V28" s="308">
        <f t="shared" si="25"/>
        <v>136</v>
      </c>
      <c r="W28" s="25">
        <f>T28</f>
        <v>0.51458333333333328</v>
      </c>
      <c r="X28" s="25">
        <f>S29</f>
        <v>0.55347222222222214</v>
      </c>
      <c r="Y28" s="25"/>
      <c r="Z28" s="25"/>
      <c r="AA28" s="575"/>
      <c r="AB28" s="575"/>
      <c r="AC28" s="50"/>
      <c r="AD28" s="27"/>
      <c r="AE28" s="20">
        <f t="shared" si="8"/>
        <v>-116.02941176470631</v>
      </c>
      <c r="AF28" s="305">
        <f t="shared" si="9"/>
        <v>0.95165441176470567</v>
      </c>
      <c r="AG28" s="573"/>
    </row>
    <row r="29" spans="1:33" ht="15.75" customHeight="1">
      <c r="A29" s="595" t="s">
        <v>1822</v>
      </c>
      <c r="B29" s="39" t="s">
        <v>94</v>
      </c>
      <c r="C29" s="594" t="s">
        <v>95</v>
      </c>
      <c r="D29" s="594"/>
      <c r="E29" s="39">
        <v>31.29</v>
      </c>
      <c r="F29" s="309">
        <v>4941</v>
      </c>
      <c r="G29" s="301">
        <f t="shared" si="23"/>
        <v>154603.88999999998</v>
      </c>
      <c r="H29" s="48" t="s">
        <v>126</v>
      </c>
      <c r="I29" s="307">
        <v>18</v>
      </c>
      <c r="J29" s="43">
        <v>2400</v>
      </c>
      <c r="K29" s="18">
        <f t="shared" si="1"/>
        <v>133.33333333333334</v>
      </c>
      <c r="L29" s="307">
        <v>18</v>
      </c>
      <c r="M29" s="19">
        <f t="shared" si="24"/>
        <v>2298.1395348837204</v>
      </c>
      <c r="N29" s="18">
        <f t="shared" si="3"/>
        <v>127.67441860465114</v>
      </c>
      <c r="O29" s="20">
        <f t="shared" si="4"/>
        <v>0</v>
      </c>
      <c r="P29" s="21">
        <f t="shared" si="5"/>
        <v>-5.6589147286822055</v>
      </c>
      <c r="Q29" s="305">
        <f t="shared" si="6"/>
        <v>0.95755813953488345</v>
      </c>
      <c r="R29" s="573"/>
      <c r="S29" s="49">
        <v>0.55347222222222214</v>
      </c>
      <c r="T29" s="49">
        <v>0.64305555555555549</v>
      </c>
      <c r="U29" s="301">
        <f t="shared" si="26"/>
        <v>55.999999999999957</v>
      </c>
      <c r="V29" s="308">
        <f t="shared" si="25"/>
        <v>129.00000000000003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-101.86046511627956</v>
      </c>
      <c r="AF29" s="305">
        <f t="shared" si="9"/>
        <v>0.95755813953488356</v>
      </c>
      <c r="AG29" s="573"/>
    </row>
    <row r="30" spans="1:33" ht="15.75" customHeight="1">
      <c r="A30" s="595" t="s">
        <v>1822</v>
      </c>
      <c r="B30" s="39" t="s">
        <v>94</v>
      </c>
      <c r="C30" s="594" t="s">
        <v>529</v>
      </c>
      <c r="D30" s="594"/>
      <c r="E30" s="39">
        <v>26.18</v>
      </c>
      <c r="F30" s="309">
        <v>3972</v>
      </c>
      <c r="G30" s="301">
        <f t="shared" si="23"/>
        <v>103986.95999999999</v>
      </c>
      <c r="H30" s="48" t="s">
        <v>126</v>
      </c>
      <c r="I30" s="307">
        <v>19</v>
      </c>
      <c r="J30" s="43">
        <v>2400</v>
      </c>
      <c r="K30" s="18">
        <f t="shared" si="1"/>
        <v>126.31578947368421</v>
      </c>
      <c r="L30" s="307">
        <v>19</v>
      </c>
      <c r="M30" s="19">
        <f t="shared" si="24"/>
        <v>2291.5384615384628</v>
      </c>
      <c r="N30" s="18">
        <f t="shared" si="3"/>
        <v>120.60728744939279</v>
      </c>
      <c r="O30" s="20">
        <f t="shared" si="4"/>
        <v>0</v>
      </c>
      <c r="P30" s="21">
        <f t="shared" si="5"/>
        <v>-5.7085020242914197</v>
      </c>
      <c r="Q30" s="305">
        <f t="shared" si="6"/>
        <v>0.95480769230769291</v>
      </c>
      <c r="R30" s="573"/>
      <c r="S30" s="49">
        <v>0.64861111111111103</v>
      </c>
      <c r="T30" s="49">
        <v>0.72083333333333321</v>
      </c>
      <c r="U30" s="301">
        <f t="shared" si="26"/>
        <v>7.9999999999999716</v>
      </c>
      <c r="V30" s="308">
        <f t="shared" si="25"/>
        <v>103.99999999999994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-108.4615384615372</v>
      </c>
      <c r="AF30" s="305">
        <f t="shared" si="9"/>
        <v>0.9548076923076928</v>
      </c>
      <c r="AG30" s="573"/>
    </row>
    <row r="31" spans="1:33" ht="15.75" customHeight="1">
      <c r="A31" s="595" t="s">
        <v>55</v>
      </c>
      <c r="B31" s="39" t="s">
        <v>94</v>
      </c>
      <c r="C31" s="594" t="s">
        <v>97</v>
      </c>
      <c r="D31" s="594"/>
      <c r="E31" s="39">
        <v>26.37</v>
      </c>
      <c r="F31" s="309">
        <v>3361</v>
      </c>
      <c r="G31" s="301">
        <f t="shared" si="23"/>
        <v>88629.57</v>
      </c>
      <c r="H31" s="48" t="s">
        <v>126</v>
      </c>
      <c r="I31" s="307">
        <v>18</v>
      </c>
      <c r="J31" s="43">
        <v>2400</v>
      </c>
      <c r="K31" s="18">
        <f t="shared" si="1"/>
        <v>133.33333333333334</v>
      </c>
      <c r="L31" s="307">
        <v>18</v>
      </c>
      <c r="M31" s="19">
        <f t="shared" si="24"/>
        <v>2291.590909090909</v>
      </c>
      <c r="N31" s="18">
        <f t="shared" si="3"/>
        <v>127.31060606060606</v>
      </c>
      <c r="O31" s="20">
        <f t="shared" si="4"/>
        <v>0</v>
      </c>
      <c r="P31" s="21">
        <f t="shared" si="5"/>
        <v>-6.0227272727272805</v>
      </c>
      <c r="Q31" s="305">
        <f t="shared" si="6"/>
        <v>0.95482954545454535</v>
      </c>
      <c r="R31" s="573"/>
      <c r="S31" s="49">
        <v>0.72569444444444431</v>
      </c>
      <c r="T31" s="49">
        <v>0.78680555555555542</v>
      </c>
      <c r="U31" s="301">
        <f t="shared" si="26"/>
        <v>6.9999999999999751</v>
      </c>
      <c r="V31" s="308">
        <f t="shared" si="25"/>
        <v>88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-108.40909090909099</v>
      </c>
      <c r="AF31" s="305">
        <f t="shared" si="9"/>
        <v>0.95482954545454546</v>
      </c>
      <c r="AG31" s="573"/>
    </row>
    <row r="32" spans="1:33" ht="15.75" customHeight="1">
      <c r="A32" s="595" t="s">
        <v>1822</v>
      </c>
      <c r="B32" s="39" t="s">
        <v>1813</v>
      </c>
      <c r="C32" s="576"/>
      <c r="D32" s="576"/>
      <c r="E32" s="306"/>
      <c r="F32" s="309"/>
      <c r="G32" s="301"/>
      <c r="H32" s="309"/>
      <c r="I32" s="32">
        <v>17.714285714285715</v>
      </c>
      <c r="J32" s="43">
        <v>2400</v>
      </c>
      <c r="K32" s="18">
        <f t="shared" si="1"/>
        <v>135.48387096774192</v>
      </c>
      <c r="L32" s="32">
        <v>17.714285714285715</v>
      </c>
      <c r="M32" s="19">
        <f>AVERAGE(M25:M31)</f>
        <v>2290.1226278708587</v>
      </c>
      <c r="N32" s="18">
        <f t="shared" si="3"/>
        <v>129.28111608948396</v>
      </c>
      <c r="O32" s="20">
        <f t="shared" si="4"/>
        <v>0</v>
      </c>
      <c r="P32" s="21">
        <f t="shared" si="5"/>
        <v>-6.2027548782579629</v>
      </c>
      <c r="Q32" s="305">
        <f t="shared" si="6"/>
        <v>0.95421776161285787</v>
      </c>
      <c r="R32" s="573"/>
      <c r="S32" s="49"/>
      <c r="T32" s="49"/>
      <c r="U32" s="301"/>
      <c r="V32" s="308"/>
      <c r="W32" s="301"/>
      <c r="X32" s="301"/>
      <c r="Y32" s="33">
        <f>SUM(Y25:Y31)</f>
        <v>0</v>
      </c>
      <c r="Z32" s="33">
        <f>SUM(Z25:Z31)</f>
        <v>0</v>
      </c>
      <c r="AA32" s="572"/>
      <c r="AB32" s="572"/>
      <c r="AC32" s="33">
        <v>7</v>
      </c>
      <c r="AD32" s="33">
        <f>SUM(AD25:AD31)</f>
        <v>0</v>
      </c>
      <c r="AE32" s="20">
        <f t="shared" si="8"/>
        <v>-109.87737212914135</v>
      </c>
      <c r="AF32" s="305">
        <f t="shared" si="9"/>
        <v>0.95421776161285776</v>
      </c>
      <c r="AG32" s="573"/>
    </row>
    <row r="33" spans="1:33" ht="15.75" customHeight="1">
      <c r="A33" s="592" t="s">
        <v>1823</v>
      </c>
      <c r="B33" s="39" t="s">
        <v>94</v>
      </c>
      <c r="C33" s="574" t="s">
        <v>530</v>
      </c>
      <c r="D33" s="574"/>
      <c r="E33" s="39">
        <v>26.18</v>
      </c>
      <c r="F33" s="309">
        <v>4600</v>
      </c>
      <c r="G33" s="301">
        <f t="shared" ref="G33:G39" si="27">E33*F33</f>
        <v>120428</v>
      </c>
      <c r="H33" s="48">
        <v>2</v>
      </c>
      <c r="I33" s="307">
        <v>21</v>
      </c>
      <c r="J33" s="43">
        <v>2400</v>
      </c>
      <c r="K33" s="18">
        <f t="shared" si="1"/>
        <v>114.28571428571429</v>
      </c>
      <c r="L33" s="307">
        <v>21</v>
      </c>
      <c r="M33" s="19">
        <f t="shared" ref="M33:M39" si="28">F33/V33*60</f>
        <v>2280.9917355371904</v>
      </c>
      <c r="N33" s="18">
        <f t="shared" si="3"/>
        <v>108.61865407319954</v>
      </c>
      <c r="O33" s="20">
        <f t="shared" si="4"/>
        <v>0</v>
      </c>
      <c r="P33" s="21">
        <f t="shared" si="5"/>
        <v>-5.6670602125147553</v>
      </c>
      <c r="Q33" s="305">
        <f t="shared" si="6"/>
        <v>0.95041322314049592</v>
      </c>
      <c r="R33" s="573">
        <f>Q40</f>
        <v>0.95670103583963539</v>
      </c>
      <c r="S33" s="49">
        <v>8.3333333333333329E-2</v>
      </c>
      <c r="T33" s="49">
        <v>0.1673611111111111</v>
      </c>
      <c r="U33" s="301"/>
      <c r="V33" s="308">
        <f t="shared" ref="V33:V39" si="29">(T33-S33)*24*60</f>
        <v>121</v>
      </c>
      <c r="W33" s="30">
        <f>T33</f>
        <v>0.1673611111111111</v>
      </c>
      <c r="X33" s="30">
        <f>S34</f>
        <v>0.18611111111111112</v>
      </c>
      <c r="Y33" s="30"/>
      <c r="Z33" s="30"/>
      <c r="AA33" s="575"/>
      <c r="AB33" s="575"/>
      <c r="AC33" s="50">
        <v>7</v>
      </c>
      <c r="AD33" s="27"/>
      <c r="AE33" s="20">
        <f t="shared" si="8"/>
        <v>-119.00826446280962</v>
      </c>
      <c r="AF33" s="305">
        <f t="shared" si="9"/>
        <v>0.95041322314049603</v>
      </c>
      <c r="AG33" s="573">
        <f>AF40</f>
        <v>0.95670103583963539</v>
      </c>
    </row>
    <row r="34" spans="1:33" ht="15.75" customHeight="1">
      <c r="A34" s="592" t="s">
        <v>1824</v>
      </c>
      <c r="B34" s="39" t="s">
        <v>94</v>
      </c>
      <c r="C34" s="574" t="s">
        <v>100</v>
      </c>
      <c r="D34" s="574"/>
      <c r="E34" s="39">
        <v>24.43</v>
      </c>
      <c r="F34" s="309">
        <v>4600</v>
      </c>
      <c r="G34" s="301">
        <f t="shared" si="27"/>
        <v>112378</v>
      </c>
      <c r="H34" s="48">
        <v>2</v>
      </c>
      <c r="I34" s="307">
        <v>14</v>
      </c>
      <c r="J34" s="43">
        <v>2400</v>
      </c>
      <c r="K34" s="18">
        <f t="shared" si="1"/>
        <v>171.42857142857142</v>
      </c>
      <c r="L34" s="307">
        <v>14</v>
      </c>
      <c r="M34" s="19">
        <f t="shared" si="28"/>
        <v>2300.0000000000005</v>
      </c>
      <c r="N34" s="18">
        <f t="shared" si="3"/>
        <v>164.28571428571431</v>
      </c>
      <c r="O34" s="20">
        <f t="shared" si="4"/>
        <v>0</v>
      </c>
      <c r="P34" s="21">
        <f t="shared" si="5"/>
        <v>-7.1428571428571104</v>
      </c>
      <c r="Q34" s="305">
        <f t="shared" si="6"/>
        <v>0.95833333333333348</v>
      </c>
      <c r="R34" s="573"/>
      <c r="S34" s="49">
        <v>0.18611111111111112</v>
      </c>
      <c r="T34" s="49">
        <v>0.26944444444444443</v>
      </c>
      <c r="U34" s="301">
        <f t="shared" ref="U34:U39" si="30">(S34-T33)*24*60</f>
        <v>27.000000000000025</v>
      </c>
      <c r="V34" s="308">
        <f t="shared" si="29"/>
        <v>119.99999999999997</v>
      </c>
      <c r="W34" s="301"/>
      <c r="X34" s="301"/>
      <c r="Y34" s="301"/>
      <c r="Z34" s="301"/>
      <c r="AA34" s="575"/>
      <c r="AB34" s="575"/>
      <c r="AC34" s="50"/>
      <c r="AD34" s="27"/>
      <c r="AE34" s="20">
        <f t="shared" si="8"/>
        <v>-99.999999999999545</v>
      </c>
      <c r="AF34" s="305">
        <f t="shared" si="9"/>
        <v>0.95833333333333348</v>
      </c>
      <c r="AG34" s="573"/>
    </row>
    <row r="35" spans="1:33">
      <c r="A35" s="593" t="s">
        <v>1824</v>
      </c>
      <c r="B35" s="39" t="s">
        <v>94</v>
      </c>
      <c r="C35" s="574" t="s">
        <v>102</v>
      </c>
      <c r="D35" s="574"/>
      <c r="E35" s="39">
        <v>34.1</v>
      </c>
      <c r="F35" s="309">
        <v>4400</v>
      </c>
      <c r="G35" s="301">
        <f t="shared" si="27"/>
        <v>150040</v>
      </c>
      <c r="H35" s="48">
        <v>2</v>
      </c>
      <c r="I35" s="307">
        <v>17</v>
      </c>
      <c r="J35" s="43">
        <v>1600</v>
      </c>
      <c r="K35" s="18">
        <f t="shared" si="1"/>
        <v>94.117647058823536</v>
      </c>
      <c r="L35" s="307">
        <v>17</v>
      </c>
      <c r="M35" s="19">
        <f t="shared" si="28"/>
        <v>1526.0115606936415</v>
      </c>
      <c r="N35" s="18">
        <f t="shared" si="3"/>
        <v>89.765385923155378</v>
      </c>
      <c r="O35" s="20">
        <f t="shared" si="4"/>
        <v>0</v>
      </c>
      <c r="P35" s="21">
        <f t="shared" si="5"/>
        <v>-4.352261135668158</v>
      </c>
      <c r="Q35" s="305">
        <f t="shared" si="6"/>
        <v>0.95375722543352581</v>
      </c>
      <c r="R35" s="573"/>
      <c r="S35" s="49">
        <v>0.27291666666666664</v>
      </c>
      <c r="T35" s="49">
        <v>0.39305555555555555</v>
      </c>
      <c r="U35" s="301">
        <f t="shared" si="30"/>
        <v>4.9999999999999822</v>
      </c>
      <c r="V35" s="308">
        <f t="shared" si="29"/>
        <v>173.00000000000003</v>
      </c>
      <c r="W35" s="301"/>
      <c r="X35" s="301"/>
      <c r="Y35" s="301"/>
      <c r="Z35" s="301"/>
      <c r="AA35" s="575"/>
      <c r="AB35" s="575"/>
      <c r="AC35" s="50"/>
      <c r="AD35" s="27"/>
      <c r="AE35" s="20">
        <f t="shared" si="8"/>
        <v>-73.988439306358487</v>
      </c>
      <c r="AF35" s="305">
        <f t="shared" si="9"/>
        <v>0.95375722543352592</v>
      </c>
      <c r="AG35" s="573"/>
    </row>
    <row r="36" spans="1:33">
      <c r="A36" s="593" t="s">
        <v>1824</v>
      </c>
      <c r="B36" s="39" t="s">
        <v>94</v>
      </c>
      <c r="C36" s="574" t="s">
        <v>101</v>
      </c>
      <c r="D36" s="574"/>
      <c r="E36" s="39">
        <v>25.98</v>
      </c>
      <c r="F36" s="309">
        <v>3801</v>
      </c>
      <c r="G36" s="301">
        <f t="shared" si="27"/>
        <v>98749.98</v>
      </c>
      <c r="H36" s="48" t="s">
        <v>126</v>
      </c>
      <c r="I36" s="307">
        <v>19</v>
      </c>
      <c r="J36" s="43">
        <v>2400</v>
      </c>
      <c r="K36" s="18">
        <f t="shared" si="1"/>
        <v>126.31578947368421</v>
      </c>
      <c r="L36" s="307">
        <v>19</v>
      </c>
      <c r="M36" s="19">
        <f t="shared" si="28"/>
        <v>2303.6363636363644</v>
      </c>
      <c r="N36" s="18">
        <f t="shared" si="3"/>
        <v>121.24401913875602</v>
      </c>
      <c r="O36" s="20">
        <f t="shared" si="4"/>
        <v>0</v>
      </c>
      <c r="P36" s="21">
        <f t="shared" si="5"/>
        <v>-5.0717703349281891</v>
      </c>
      <c r="Q36" s="305">
        <f t="shared" si="6"/>
        <v>0.95984848484848517</v>
      </c>
      <c r="R36" s="573"/>
      <c r="S36" s="49">
        <v>0.3972222222222222</v>
      </c>
      <c r="T36" s="49">
        <v>0.46597222222222218</v>
      </c>
      <c r="U36" s="301">
        <f t="shared" si="30"/>
        <v>5.9999999999999787</v>
      </c>
      <c r="V36" s="308">
        <f t="shared" si="29"/>
        <v>98.999999999999972</v>
      </c>
      <c r="W36" s="25">
        <f>T36</f>
        <v>0.46597222222222218</v>
      </c>
      <c r="X36" s="25">
        <f>S37</f>
        <v>0.50555555555555554</v>
      </c>
      <c r="Y36" s="25"/>
      <c r="Z36" s="25"/>
      <c r="AA36" s="575"/>
      <c r="AB36" s="575"/>
      <c r="AC36" s="50"/>
      <c r="AD36" s="27"/>
      <c r="AE36" s="20">
        <f t="shared" si="8"/>
        <v>-96.363636363635578</v>
      </c>
      <c r="AF36" s="305">
        <f t="shared" si="9"/>
        <v>0.95984848484848517</v>
      </c>
      <c r="AG36" s="573"/>
    </row>
    <row r="37" spans="1:33">
      <c r="A37" s="593" t="s">
        <v>58</v>
      </c>
      <c r="B37" s="39" t="s">
        <v>94</v>
      </c>
      <c r="C37" s="574" t="s">
        <v>102</v>
      </c>
      <c r="D37" s="574"/>
      <c r="E37" s="39">
        <v>34.1</v>
      </c>
      <c r="F37" s="309">
        <v>3939</v>
      </c>
      <c r="G37" s="301">
        <f t="shared" si="27"/>
        <v>134319.9</v>
      </c>
      <c r="H37" s="48" t="s">
        <v>126</v>
      </c>
      <c r="I37" s="307">
        <v>17</v>
      </c>
      <c r="J37" s="43">
        <v>1600</v>
      </c>
      <c r="K37" s="18">
        <f t="shared" si="1"/>
        <v>94.117647058823536</v>
      </c>
      <c r="L37" s="307">
        <v>17</v>
      </c>
      <c r="M37" s="19">
        <f t="shared" si="28"/>
        <v>1534.675324675324</v>
      </c>
      <c r="N37" s="18">
        <f t="shared" si="3"/>
        <v>90.275019098548469</v>
      </c>
      <c r="O37" s="20">
        <f t="shared" si="4"/>
        <v>0</v>
      </c>
      <c r="P37" s="21">
        <f t="shared" si="5"/>
        <v>-3.8426279602750668</v>
      </c>
      <c r="Q37" s="305">
        <f t="shared" si="6"/>
        <v>0.95917207792207737</v>
      </c>
      <c r="R37" s="573"/>
      <c r="S37" s="49">
        <v>0.50555555555555554</v>
      </c>
      <c r="T37" s="49">
        <v>0.61250000000000004</v>
      </c>
      <c r="U37" s="301">
        <f t="shared" si="30"/>
        <v>57.000000000000036</v>
      </c>
      <c r="V37" s="308">
        <f t="shared" si="29"/>
        <v>154.00000000000009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8"/>
        <v>-65.324675324676036</v>
      </c>
      <c r="AF37" s="305">
        <f t="shared" si="9"/>
        <v>0.95917207792207748</v>
      </c>
      <c r="AG37" s="573"/>
    </row>
    <row r="38" spans="1:33">
      <c r="A38" s="593" t="s">
        <v>1824</v>
      </c>
      <c r="B38" s="39" t="s">
        <v>94</v>
      </c>
      <c r="C38" s="574" t="s">
        <v>530</v>
      </c>
      <c r="D38" s="574"/>
      <c r="E38" s="39">
        <v>26.18</v>
      </c>
      <c r="F38" s="309">
        <v>3422</v>
      </c>
      <c r="G38" s="301">
        <f t="shared" si="27"/>
        <v>89587.959999999992</v>
      </c>
      <c r="H38" s="48" t="s">
        <v>126</v>
      </c>
      <c r="I38" s="307">
        <v>21</v>
      </c>
      <c r="J38" s="43">
        <v>2400</v>
      </c>
      <c r="K38" s="18">
        <f t="shared" si="1"/>
        <v>114.28571428571429</v>
      </c>
      <c r="L38" s="307">
        <v>21</v>
      </c>
      <c r="M38" s="19">
        <f t="shared" si="28"/>
        <v>2306.9662921348317</v>
      </c>
      <c r="N38" s="18">
        <f t="shared" si="3"/>
        <v>109.85553772070628</v>
      </c>
      <c r="O38" s="20">
        <f t="shared" si="4"/>
        <v>0</v>
      </c>
      <c r="P38" s="21">
        <f t="shared" si="5"/>
        <v>-4.4301765650080114</v>
      </c>
      <c r="Q38" s="305">
        <f t="shared" si="6"/>
        <v>0.96123595505617987</v>
      </c>
      <c r="R38" s="573"/>
      <c r="S38" s="49">
        <v>0.6166666666666667</v>
      </c>
      <c r="T38" s="49">
        <v>0.67847222222222225</v>
      </c>
      <c r="U38" s="301">
        <f t="shared" si="30"/>
        <v>5.9999999999999787</v>
      </c>
      <c r="V38" s="308">
        <f t="shared" si="29"/>
        <v>89</v>
      </c>
      <c r="W38" s="25"/>
      <c r="X38" s="25"/>
      <c r="Y38" s="25"/>
      <c r="Z38" s="25"/>
      <c r="AA38" s="575"/>
      <c r="AB38" s="575"/>
      <c r="AC38" s="50"/>
      <c r="AD38" s="27"/>
      <c r="AE38" s="20">
        <f t="shared" si="8"/>
        <v>-93.033707865168253</v>
      </c>
      <c r="AF38" s="305">
        <f t="shared" si="9"/>
        <v>0.96123595505617987</v>
      </c>
      <c r="AG38" s="573"/>
    </row>
    <row r="39" spans="1:33">
      <c r="A39" s="593" t="s">
        <v>1824</v>
      </c>
      <c r="B39" s="39" t="s">
        <v>94</v>
      </c>
      <c r="C39" s="574" t="s">
        <v>100</v>
      </c>
      <c r="D39" s="574"/>
      <c r="E39" s="39">
        <v>24.43</v>
      </c>
      <c r="F39" s="309">
        <v>3587</v>
      </c>
      <c r="G39" s="301">
        <f t="shared" si="27"/>
        <v>87630.41</v>
      </c>
      <c r="H39" s="48" t="s">
        <v>126</v>
      </c>
      <c r="I39" s="307">
        <v>14</v>
      </c>
      <c r="J39" s="43">
        <v>2400</v>
      </c>
      <c r="K39" s="18">
        <f t="shared" si="1"/>
        <v>171.42857142857142</v>
      </c>
      <c r="L39" s="307">
        <v>14</v>
      </c>
      <c r="M39" s="19">
        <f t="shared" si="28"/>
        <v>2289.5744680851067</v>
      </c>
      <c r="N39" s="18">
        <f t="shared" si="3"/>
        <v>163.54103343465047</v>
      </c>
      <c r="O39" s="20">
        <f t="shared" si="4"/>
        <v>0</v>
      </c>
      <c r="P39" s="21">
        <f t="shared" si="5"/>
        <v>-7.8875379939209438</v>
      </c>
      <c r="Q39" s="305">
        <f t="shared" si="6"/>
        <v>0.95398936170212778</v>
      </c>
      <c r="R39" s="573"/>
      <c r="S39" s="49">
        <v>0.68263888888888891</v>
      </c>
      <c r="T39" s="49">
        <v>0.74791666666666667</v>
      </c>
      <c r="U39" s="301">
        <f t="shared" si="30"/>
        <v>5.9999999999999787</v>
      </c>
      <c r="V39" s="308">
        <f t="shared" si="29"/>
        <v>93.999999999999986</v>
      </c>
      <c r="W39" s="25"/>
      <c r="X39" s="25"/>
      <c r="Y39" s="28"/>
      <c r="Z39" s="28"/>
      <c r="AA39" s="568"/>
      <c r="AB39" s="569"/>
      <c r="AC39" s="50"/>
      <c r="AD39" s="27"/>
      <c r="AE39" s="20">
        <f t="shared" si="8"/>
        <v>-110.42553191489333</v>
      </c>
      <c r="AF39" s="305">
        <f t="shared" si="9"/>
        <v>0.95398936170212778</v>
      </c>
      <c r="AG39" s="573"/>
    </row>
    <row r="40" spans="1:33">
      <c r="A40" s="593" t="s">
        <v>58</v>
      </c>
      <c r="B40" s="42" t="s">
        <v>1825</v>
      </c>
      <c r="C40" s="576"/>
      <c r="D40" s="576"/>
      <c r="E40" s="306"/>
      <c r="F40" s="42"/>
      <c r="G40" s="18"/>
      <c r="H40" s="309"/>
      <c r="I40" s="32">
        <v>17.571428571428573</v>
      </c>
      <c r="J40" s="43">
        <v>2171.4285714285716</v>
      </c>
      <c r="K40" s="18">
        <f t="shared" si="1"/>
        <v>123.57723577235772</v>
      </c>
      <c r="L40" s="32">
        <v>17.571428571428573</v>
      </c>
      <c r="M40" s="19">
        <f>AVERAGE(M33:M39)</f>
        <v>2077.4079635374942</v>
      </c>
      <c r="N40" s="18">
        <f t="shared" si="3"/>
        <v>118.22646946961348</v>
      </c>
      <c r="O40" s="20">
        <f t="shared" si="4"/>
        <v>0</v>
      </c>
      <c r="P40" s="21">
        <f t="shared" si="5"/>
        <v>-5.3507663027442476</v>
      </c>
      <c r="Q40" s="305">
        <f t="shared" si="6"/>
        <v>0.95670103583963539</v>
      </c>
      <c r="R40" s="573"/>
      <c r="S40" s="49"/>
      <c r="T40" s="49"/>
      <c r="U40" s="18"/>
      <c r="V40" s="308"/>
      <c r="W40" s="18"/>
      <c r="X40" s="18"/>
      <c r="Y40" s="33">
        <f>SUM(Y33:Y39)</f>
        <v>0</v>
      </c>
      <c r="Z40" s="33">
        <f>SUM(Z33:Z39)</f>
        <v>0</v>
      </c>
      <c r="AA40" s="572"/>
      <c r="AB40" s="572"/>
      <c r="AC40" s="33">
        <v>7</v>
      </c>
      <c r="AD40" s="33">
        <f>SUM(AD33:AD39)</f>
        <v>0</v>
      </c>
      <c r="AE40" s="20">
        <f t="shared" si="8"/>
        <v>-94.020607891077361</v>
      </c>
      <c r="AF40" s="305">
        <f t="shared" si="9"/>
        <v>0.95670103583963539</v>
      </c>
      <c r="AG40" s="573"/>
    </row>
    <row r="41" spans="1:33" ht="15.75" customHeight="1">
      <c r="A41" s="589" t="s">
        <v>61</v>
      </c>
      <c r="B41" s="39" t="s">
        <v>104</v>
      </c>
      <c r="C41" s="566" t="s">
        <v>105</v>
      </c>
      <c r="D41" s="567"/>
      <c r="E41" s="39">
        <v>37.880000000000003</v>
      </c>
      <c r="F41" s="309">
        <v>2295</v>
      </c>
      <c r="G41" s="301">
        <f t="shared" ref="G41:G44" si="31">E41*F41</f>
        <v>86934.6</v>
      </c>
      <c r="H41" s="48" t="s">
        <v>126</v>
      </c>
      <c r="I41" s="307">
        <v>13</v>
      </c>
      <c r="J41" s="43">
        <v>2000</v>
      </c>
      <c r="K41" s="18">
        <f t="shared" si="1"/>
        <v>153.84615384615384</v>
      </c>
      <c r="L41" s="307">
        <v>13</v>
      </c>
      <c r="M41" s="19">
        <f t="shared" ref="M41:M44" si="32">F41/V41*60</f>
        <v>1912.4999999999995</v>
      </c>
      <c r="N41" s="19">
        <f t="shared" si="3"/>
        <v>147.11538461538458</v>
      </c>
      <c r="O41" s="20">
        <f t="shared" si="4"/>
        <v>0</v>
      </c>
      <c r="P41" s="21">
        <f t="shared" si="5"/>
        <v>-6.7307692307692548</v>
      </c>
      <c r="Q41" s="305">
        <f t="shared" si="6"/>
        <v>0.95624999999999982</v>
      </c>
      <c r="R41" s="584">
        <f>Q45</f>
        <v>0.95321399323622025</v>
      </c>
      <c r="S41" s="49">
        <v>8.3333333333333329E-2</v>
      </c>
      <c r="T41" s="49">
        <v>0.13333333333333333</v>
      </c>
      <c r="U41" s="30"/>
      <c r="V41" s="308">
        <f t="shared" ref="V41:V44" si="33">(T41-S41)*24*60</f>
        <v>72.000000000000014</v>
      </c>
      <c r="W41" s="25">
        <f>T41</f>
        <v>0.13333333333333333</v>
      </c>
      <c r="X41" s="25">
        <f>S42</f>
        <v>0.15347222222222223</v>
      </c>
      <c r="Y41" s="28"/>
      <c r="Z41" s="28"/>
      <c r="AA41" s="568"/>
      <c r="AB41" s="569"/>
      <c r="AC41" s="50">
        <v>4</v>
      </c>
      <c r="AD41" s="27"/>
      <c r="AE41" s="20">
        <f t="shared" si="8"/>
        <v>-87.500000000000455</v>
      </c>
      <c r="AF41" s="305">
        <f t="shared" si="9"/>
        <v>0.95624999999999982</v>
      </c>
      <c r="AG41" s="584">
        <f>AF45</f>
        <v>0.95321399323622025</v>
      </c>
    </row>
    <row r="42" spans="1:33" ht="15.75" customHeight="1">
      <c r="A42" s="590" t="s">
        <v>61</v>
      </c>
      <c r="B42" s="39" t="s">
        <v>104</v>
      </c>
      <c r="C42" s="566" t="s">
        <v>106</v>
      </c>
      <c r="D42" s="567"/>
      <c r="E42" s="39">
        <v>35.119999999999997</v>
      </c>
      <c r="F42" s="309">
        <v>6190</v>
      </c>
      <c r="G42" s="301">
        <f t="shared" si="31"/>
        <v>217392.8</v>
      </c>
      <c r="H42" s="48" t="s">
        <v>126</v>
      </c>
      <c r="I42" s="307">
        <v>10</v>
      </c>
      <c r="J42" s="43">
        <v>3000</v>
      </c>
      <c r="K42" s="18">
        <f t="shared" si="1"/>
        <v>300</v>
      </c>
      <c r="L42" s="307">
        <v>10</v>
      </c>
      <c r="M42" s="19">
        <f t="shared" si="32"/>
        <v>2856.9230769230762</v>
      </c>
      <c r="N42" s="19">
        <f t="shared" si="3"/>
        <v>285.69230769230762</v>
      </c>
      <c r="O42" s="20">
        <f t="shared" si="4"/>
        <v>0</v>
      </c>
      <c r="P42" s="21">
        <f t="shared" si="5"/>
        <v>-14.307692307692378</v>
      </c>
      <c r="Q42" s="305">
        <f t="shared" si="6"/>
        <v>0.95230769230769208</v>
      </c>
      <c r="R42" s="585"/>
      <c r="S42" s="49">
        <v>0.15347222222222223</v>
      </c>
      <c r="T42" s="49">
        <v>0.24375000000000002</v>
      </c>
      <c r="U42" s="301">
        <f t="shared" ref="U42:U44" si="34">(S42-T41)*24*60</f>
        <v>29.000000000000018</v>
      </c>
      <c r="V42" s="308">
        <f t="shared" si="33"/>
        <v>130.00000000000003</v>
      </c>
      <c r="W42" s="25"/>
      <c r="X42" s="25"/>
      <c r="Y42" s="28"/>
      <c r="Z42" s="28"/>
      <c r="AA42" s="568"/>
      <c r="AB42" s="569"/>
      <c r="AC42" s="50"/>
      <c r="AD42" s="27"/>
      <c r="AE42" s="20">
        <f t="shared" si="8"/>
        <v>-143.07692307692378</v>
      </c>
      <c r="AF42" s="305">
        <f t="shared" si="9"/>
        <v>0.95230769230769208</v>
      </c>
      <c r="AG42" s="585"/>
    </row>
    <row r="43" spans="1:33" ht="15.75" customHeight="1">
      <c r="A43" s="590" t="s">
        <v>61</v>
      </c>
      <c r="B43" s="39" t="s">
        <v>104</v>
      </c>
      <c r="C43" s="566" t="s">
        <v>107</v>
      </c>
      <c r="D43" s="567"/>
      <c r="E43" s="39">
        <v>21.13</v>
      </c>
      <c r="F43" s="309">
        <v>6228</v>
      </c>
      <c r="G43" s="301">
        <f t="shared" si="31"/>
        <v>131597.63999999998</v>
      </c>
      <c r="H43" s="48" t="s">
        <v>126</v>
      </c>
      <c r="I43" s="307">
        <v>10</v>
      </c>
      <c r="J43" s="43">
        <v>3000</v>
      </c>
      <c r="K43" s="18">
        <f t="shared" si="1"/>
        <v>300</v>
      </c>
      <c r="L43" s="307">
        <v>10</v>
      </c>
      <c r="M43" s="19">
        <f t="shared" si="32"/>
        <v>2852.5190839694656</v>
      </c>
      <c r="N43" s="19">
        <f t="shared" si="3"/>
        <v>285.25190839694653</v>
      </c>
      <c r="O43" s="20">
        <f t="shared" si="4"/>
        <v>0</v>
      </c>
      <c r="P43" s="21">
        <f t="shared" si="5"/>
        <v>-14.748091603053467</v>
      </c>
      <c r="Q43" s="305">
        <f t="shared" si="6"/>
        <v>0.95083969465648843</v>
      </c>
      <c r="R43" s="585"/>
      <c r="S43" s="49">
        <v>0.24722222222222223</v>
      </c>
      <c r="T43" s="49">
        <v>0.33819444444444446</v>
      </c>
      <c r="U43" s="301">
        <f t="shared" si="34"/>
        <v>4.9999999999999822</v>
      </c>
      <c r="V43" s="308">
        <f t="shared" si="33"/>
        <v>131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-147.48091603053444</v>
      </c>
      <c r="AF43" s="305">
        <f t="shared" si="9"/>
        <v>0.95083969465648854</v>
      </c>
      <c r="AG43" s="585"/>
    </row>
    <row r="44" spans="1:33" ht="15.75" customHeight="1">
      <c r="A44" s="590" t="s">
        <v>61</v>
      </c>
      <c r="B44" s="39" t="s">
        <v>104</v>
      </c>
      <c r="C44" s="566" t="s">
        <v>108</v>
      </c>
      <c r="D44" s="567"/>
      <c r="E44" s="39">
        <v>27.17</v>
      </c>
      <c r="F44" s="309">
        <v>8113</v>
      </c>
      <c r="G44" s="301">
        <f t="shared" si="31"/>
        <v>220430.21000000002</v>
      </c>
      <c r="H44" s="48" t="s">
        <v>126</v>
      </c>
      <c r="I44" s="307">
        <v>10</v>
      </c>
      <c r="J44" s="43">
        <v>3000</v>
      </c>
      <c r="K44" s="18">
        <f t="shared" si="1"/>
        <v>300</v>
      </c>
      <c r="L44" s="307">
        <v>10</v>
      </c>
      <c r="M44" s="19">
        <f t="shared" si="32"/>
        <v>2863.4117647058815</v>
      </c>
      <c r="N44" s="19">
        <f t="shared" si="3"/>
        <v>286.34117647058815</v>
      </c>
      <c r="O44" s="20">
        <f t="shared" si="4"/>
        <v>0</v>
      </c>
      <c r="P44" s="21">
        <f t="shared" si="5"/>
        <v>-13.658823529411848</v>
      </c>
      <c r="Q44" s="305">
        <f t="shared" si="6"/>
        <v>0.95447058823529385</v>
      </c>
      <c r="R44" s="585"/>
      <c r="S44" s="49">
        <v>0.34166666666666667</v>
      </c>
      <c r="T44" s="49">
        <v>0.45972222222222225</v>
      </c>
      <c r="U44" s="301">
        <f t="shared" si="34"/>
        <v>4.9999999999999822</v>
      </c>
      <c r="V44" s="308">
        <f t="shared" si="33"/>
        <v>170.00000000000003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-136.58823529411848</v>
      </c>
      <c r="AF44" s="305">
        <f t="shared" si="9"/>
        <v>0.95447058823529385</v>
      </c>
      <c r="AG44" s="585"/>
    </row>
    <row r="45" spans="1:33" ht="15.75" customHeight="1">
      <c r="A45" s="591" t="s">
        <v>61</v>
      </c>
      <c r="B45" s="39" t="s">
        <v>46</v>
      </c>
      <c r="C45" s="570"/>
      <c r="D45" s="571"/>
      <c r="E45" s="299"/>
      <c r="F45" s="309"/>
      <c r="G45" s="301"/>
      <c r="H45" s="309"/>
      <c r="I45" s="32">
        <v>10.75</v>
      </c>
      <c r="J45" s="43">
        <v>2750</v>
      </c>
      <c r="K45" s="18">
        <f t="shared" si="1"/>
        <v>255.81395348837211</v>
      </c>
      <c r="L45" s="32">
        <v>10.75</v>
      </c>
      <c r="M45" s="19">
        <f>AVERAGE(M41:M44)</f>
        <v>2621.3384813996058</v>
      </c>
      <c r="N45" s="18">
        <f t="shared" si="3"/>
        <v>243.8454401301959</v>
      </c>
      <c r="O45" s="20">
        <f t="shared" si="4"/>
        <v>0</v>
      </c>
      <c r="P45" s="21">
        <f t="shared" si="5"/>
        <v>-11.96851335817621</v>
      </c>
      <c r="Q45" s="305">
        <f t="shared" si="6"/>
        <v>0.95321399323622025</v>
      </c>
      <c r="R45" s="586"/>
      <c r="S45" s="49"/>
      <c r="T45" s="49"/>
      <c r="U45" s="301"/>
      <c r="V45" s="308"/>
      <c r="W45" s="25"/>
      <c r="X45" s="25"/>
      <c r="Y45" s="33">
        <f>SUM(Y41:Y44)</f>
        <v>0</v>
      </c>
      <c r="Z45" s="33">
        <f>SUM(Z41:Z44)</f>
        <v>0</v>
      </c>
      <c r="AA45" s="587"/>
      <c r="AB45" s="588"/>
      <c r="AC45" s="33">
        <v>4</v>
      </c>
      <c r="AD45" s="33">
        <f>SUM(AD41:AD44)</f>
        <v>0</v>
      </c>
      <c r="AE45" s="20">
        <f t="shared" si="8"/>
        <v>-128.66151860039417</v>
      </c>
      <c r="AF45" s="305">
        <f t="shared" si="9"/>
        <v>0.95321399323622025</v>
      </c>
      <c r="AG45" s="586"/>
    </row>
    <row r="46" spans="1:33" ht="15.75" customHeight="1">
      <c r="A46" s="582" t="s">
        <v>62</v>
      </c>
      <c r="B46" s="39" t="s">
        <v>79</v>
      </c>
      <c r="C46" s="574" t="s">
        <v>109</v>
      </c>
      <c r="D46" s="574"/>
      <c r="E46" s="39">
        <v>46</v>
      </c>
      <c r="F46" s="45">
        <v>2694</v>
      </c>
      <c r="G46" s="301">
        <f t="shared" ref="G46:G52" si="35">E46*F46</f>
        <v>123924</v>
      </c>
      <c r="H46" s="48" t="s">
        <v>126</v>
      </c>
      <c r="I46" s="307">
        <v>16</v>
      </c>
      <c r="J46" s="43">
        <v>2000</v>
      </c>
      <c r="K46" s="18">
        <f t="shared" si="1"/>
        <v>125</v>
      </c>
      <c r="L46" s="307">
        <v>16</v>
      </c>
      <c r="M46" s="19">
        <f t="shared" ref="M46" si="36">F46/V46*60</f>
        <v>1924.2857142857147</v>
      </c>
      <c r="N46" s="19">
        <f t="shared" si="3"/>
        <v>120.26785714285717</v>
      </c>
      <c r="O46" s="20">
        <f t="shared" si="4"/>
        <v>0</v>
      </c>
      <c r="P46" s="21">
        <f t="shared" si="5"/>
        <v>-4.7321428571428328</v>
      </c>
      <c r="Q46" s="305">
        <f t="shared" si="6"/>
        <v>0.9621428571428573</v>
      </c>
      <c r="R46" s="573">
        <f>Q53</f>
        <v>0.96333939712503125</v>
      </c>
      <c r="S46" s="49">
        <v>0.20833333333333334</v>
      </c>
      <c r="T46" s="49">
        <v>0.26666666666666666</v>
      </c>
      <c r="U46" s="30"/>
      <c r="V46" s="308">
        <f t="shared" ref="V46:V52" si="37">(T46-S46)*24*60</f>
        <v>83.999999999999986</v>
      </c>
      <c r="W46" s="30"/>
      <c r="X46" s="30"/>
      <c r="Y46" s="30"/>
      <c r="Z46" s="30"/>
      <c r="AA46" s="575"/>
      <c r="AB46" s="575"/>
      <c r="AC46" s="50">
        <v>7</v>
      </c>
      <c r="AD46" s="27"/>
      <c r="AE46" s="20">
        <f t="shared" si="8"/>
        <v>-75.714285714285325</v>
      </c>
      <c r="AF46" s="305">
        <f t="shared" si="9"/>
        <v>0.9621428571428573</v>
      </c>
      <c r="AG46" s="573">
        <f>AF53</f>
        <v>0.96333939712503125</v>
      </c>
    </row>
    <row r="47" spans="1:33" ht="15.75" customHeight="1">
      <c r="A47" s="582" t="s">
        <v>62</v>
      </c>
      <c r="B47" s="39" t="s">
        <v>74</v>
      </c>
      <c r="C47" s="574" t="s">
        <v>110</v>
      </c>
      <c r="D47" s="574"/>
      <c r="E47" s="39">
        <v>56.43</v>
      </c>
      <c r="F47" s="45">
        <v>1834</v>
      </c>
      <c r="G47" s="301">
        <f t="shared" si="35"/>
        <v>103492.62</v>
      </c>
      <c r="H47" s="48" t="s">
        <v>126</v>
      </c>
      <c r="I47" s="307">
        <v>22</v>
      </c>
      <c r="J47" s="43">
        <v>2000</v>
      </c>
      <c r="K47" s="18">
        <f t="shared" si="1"/>
        <v>90.909090909090907</v>
      </c>
      <c r="L47" s="307">
        <v>22</v>
      </c>
      <c r="M47" s="19">
        <f>F47/V47*60</f>
        <v>1930.5263157894724</v>
      </c>
      <c r="N47" s="19">
        <f t="shared" si="3"/>
        <v>87.75119617224874</v>
      </c>
      <c r="O47" s="20">
        <f t="shared" si="4"/>
        <v>0</v>
      </c>
      <c r="P47" s="21">
        <f t="shared" si="5"/>
        <v>-3.1578947368421666</v>
      </c>
      <c r="Q47" s="305">
        <f t="shared" si="6"/>
        <v>0.96526315789473616</v>
      </c>
      <c r="R47" s="573"/>
      <c r="S47" s="49">
        <v>0.27152777777777776</v>
      </c>
      <c r="T47" s="49">
        <v>0.31111111111111112</v>
      </c>
      <c r="U47" s="301">
        <f t="shared" ref="U47:U52" si="38">IF(S47=TIME(17,0,0),"",(S47-T46)*24*60)</f>
        <v>6.9999999999999751</v>
      </c>
      <c r="V47" s="308">
        <f t="shared" si="37"/>
        <v>57.000000000000036</v>
      </c>
      <c r="W47" s="25"/>
      <c r="X47" s="25"/>
      <c r="Y47" s="25"/>
      <c r="Z47" s="25"/>
      <c r="AA47" s="575"/>
      <c r="AB47" s="575"/>
      <c r="AC47" s="50"/>
      <c r="AD47" s="27"/>
      <c r="AE47" s="20">
        <f t="shared" si="8"/>
        <v>-69.473684210527608</v>
      </c>
      <c r="AF47" s="305">
        <f t="shared" si="9"/>
        <v>0.96526315789473616</v>
      </c>
      <c r="AG47" s="573"/>
    </row>
    <row r="48" spans="1:33" ht="15.75" customHeight="1">
      <c r="A48" s="582" t="s">
        <v>62</v>
      </c>
      <c r="B48" s="39" t="s">
        <v>74</v>
      </c>
      <c r="C48" s="566" t="s">
        <v>111</v>
      </c>
      <c r="D48" s="567"/>
      <c r="E48" s="39">
        <v>51.75</v>
      </c>
      <c r="F48" s="45">
        <v>942</v>
      </c>
      <c r="G48" s="301">
        <f t="shared" si="35"/>
        <v>48748.5</v>
      </c>
      <c r="H48" s="48" t="s">
        <v>126</v>
      </c>
      <c r="I48" s="307">
        <v>25</v>
      </c>
      <c r="J48" s="43">
        <v>2000</v>
      </c>
      <c r="K48" s="18">
        <f t="shared" si="1"/>
        <v>80</v>
      </c>
      <c r="L48" s="307">
        <v>25</v>
      </c>
      <c r="M48" s="19">
        <f t="shared" ref="M48:M52" si="39">F48/V48*60</f>
        <v>1948.9655172413809</v>
      </c>
      <c r="N48" s="19">
        <f t="shared" si="3"/>
        <v>77.958620689655234</v>
      </c>
      <c r="O48" s="20">
        <f t="shared" si="4"/>
        <v>0</v>
      </c>
      <c r="P48" s="21">
        <f t="shared" si="5"/>
        <v>-2.0413793103447659</v>
      </c>
      <c r="Q48" s="305">
        <f t="shared" si="6"/>
        <v>0.97448275862069045</v>
      </c>
      <c r="R48" s="573"/>
      <c r="S48" s="49">
        <v>0.31458333333333333</v>
      </c>
      <c r="T48" s="49">
        <v>0.3347222222222222</v>
      </c>
      <c r="U48" s="301">
        <f t="shared" si="38"/>
        <v>4.9999999999999822</v>
      </c>
      <c r="V48" s="308">
        <f t="shared" si="37"/>
        <v>28.999999999999979</v>
      </c>
      <c r="W48" s="25"/>
      <c r="X48" s="25"/>
      <c r="Y48" s="28"/>
      <c r="Z48" s="28"/>
      <c r="AA48" s="575"/>
      <c r="AB48" s="575"/>
      <c r="AC48" s="50"/>
      <c r="AD48" s="27"/>
      <c r="AE48" s="20">
        <f t="shared" si="8"/>
        <v>-51.034482758619106</v>
      </c>
      <c r="AF48" s="305">
        <f t="shared" si="9"/>
        <v>0.97448275862069045</v>
      </c>
      <c r="AG48" s="573"/>
    </row>
    <row r="49" spans="1:33" ht="15.75" customHeight="1">
      <c r="A49" s="582" t="s">
        <v>62</v>
      </c>
      <c r="B49" s="39" t="s">
        <v>74</v>
      </c>
      <c r="C49" s="302" t="s">
        <v>88</v>
      </c>
      <c r="D49" s="303"/>
      <c r="E49" s="39">
        <v>59.04</v>
      </c>
      <c r="F49" s="45">
        <v>4628</v>
      </c>
      <c r="G49" s="301">
        <f t="shared" si="35"/>
        <v>273237.12</v>
      </c>
      <c r="H49" s="48" t="s">
        <v>126</v>
      </c>
      <c r="I49" s="307">
        <v>19</v>
      </c>
      <c r="J49" s="43">
        <v>2000</v>
      </c>
      <c r="K49" s="18">
        <f t="shared" si="1"/>
        <v>105.26315789473684</v>
      </c>
      <c r="L49" s="307">
        <v>19</v>
      </c>
      <c r="M49" s="19">
        <f t="shared" si="39"/>
        <v>1915.0344827586212</v>
      </c>
      <c r="N49" s="19">
        <f t="shared" si="3"/>
        <v>100.79128856624322</v>
      </c>
      <c r="O49" s="20">
        <f t="shared" si="4"/>
        <v>0</v>
      </c>
      <c r="P49" s="21">
        <f t="shared" si="5"/>
        <v>-4.4718693284936109</v>
      </c>
      <c r="Q49" s="305">
        <f t="shared" si="6"/>
        <v>0.95751724137931071</v>
      </c>
      <c r="R49" s="573"/>
      <c r="S49" s="49">
        <v>0.33888888888888885</v>
      </c>
      <c r="T49" s="49">
        <v>0.43958333333333327</v>
      </c>
      <c r="U49" s="301">
        <f t="shared" si="38"/>
        <v>5.9999999999999787</v>
      </c>
      <c r="V49" s="308">
        <f t="shared" si="37"/>
        <v>144.99999999999997</v>
      </c>
      <c r="W49" s="25"/>
      <c r="X49" s="25"/>
      <c r="Y49" s="28"/>
      <c r="Z49" s="28"/>
      <c r="AA49" s="575"/>
      <c r="AB49" s="575"/>
      <c r="AC49" s="50"/>
      <c r="AD49" s="27"/>
      <c r="AE49" s="20">
        <f t="shared" si="8"/>
        <v>-84.965517241378848</v>
      </c>
      <c r="AF49" s="305">
        <f t="shared" si="9"/>
        <v>0.9575172413793106</v>
      </c>
      <c r="AG49" s="573"/>
    </row>
    <row r="50" spans="1:33" ht="15.75" customHeight="1">
      <c r="A50" s="582" t="s">
        <v>62</v>
      </c>
      <c r="B50" s="39" t="s">
        <v>79</v>
      </c>
      <c r="C50" s="302" t="s">
        <v>1233</v>
      </c>
      <c r="D50" s="303"/>
      <c r="E50" s="39">
        <v>46</v>
      </c>
      <c r="F50" s="45">
        <v>5998</v>
      </c>
      <c r="G50" s="301">
        <f t="shared" si="35"/>
        <v>275908</v>
      </c>
      <c r="H50" s="48" t="s">
        <v>126</v>
      </c>
      <c r="I50" s="307">
        <v>16</v>
      </c>
      <c r="J50" s="43">
        <v>2000</v>
      </c>
      <c r="K50" s="18">
        <f t="shared" si="1"/>
        <v>125</v>
      </c>
      <c r="L50" s="307">
        <v>16</v>
      </c>
      <c r="M50" s="19">
        <f t="shared" si="39"/>
        <v>1914.2553191489355</v>
      </c>
      <c r="N50" s="19">
        <f t="shared" si="3"/>
        <v>119.64095744680847</v>
      </c>
      <c r="O50" s="20">
        <f t="shared" si="4"/>
        <v>0</v>
      </c>
      <c r="P50" s="21">
        <f t="shared" si="5"/>
        <v>-5.3590425531915287</v>
      </c>
      <c r="Q50" s="305">
        <f t="shared" si="6"/>
        <v>0.95712765957446777</v>
      </c>
      <c r="R50" s="573"/>
      <c r="S50" s="49">
        <v>0.44374999999999992</v>
      </c>
      <c r="T50" s="49">
        <v>0.57430555555555551</v>
      </c>
      <c r="U50" s="301">
        <f t="shared" si="38"/>
        <v>5.9999999999999787</v>
      </c>
      <c r="V50" s="308">
        <f t="shared" si="37"/>
        <v>188.00000000000006</v>
      </c>
      <c r="W50" s="25"/>
      <c r="X50" s="25"/>
      <c r="Y50" s="28"/>
      <c r="Z50" s="28"/>
      <c r="AA50" s="575"/>
      <c r="AB50" s="575"/>
      <c r="AC50" s="50"/>
      <c r="AD50" s="27"/>
      <c r="AE50" s="20">
        <f t="shared" si="8"/>
        <v>-85.744680851064459</v>
      </c>
      <c r="AF50" s="305">
        <f t="shared" si="9"/>
        <v>0.95712765957446777</v>
      </c>
      <c r="AG50" s="573"/>
    </row>
    <row r="51" spans="1:33" ht="15.75" customHeight="1">
      <c r="A51" s="582" t="s">
        <v>62</v>
      </c>
      <c r="B51" s="39" t="s">
        <v>74</v>
      </c>
      <c r="C51" s="566" t="s">
        <v>113</v>
      </c>
      <c r="D51" s="567"/>
      <c r="E51" s="39">
        <v>55.56</v>
      </c>
      <c r="F51" s="45">
        <v>2483</v>
      </c>
      <c r="G51" s="301">
        <f t="shared" si="35"/>
        <v>137955.48000000001</v>
      </c>
      <c r="H51" s="48" t="s">
        <v>126</v>
      </c>
      <c r="I51" s="307">
        <v>17</v>
      </c>
      <c r="J51" s="43">
        <v>2000</v>
      </c>
      <c r="K51" s="18">
        <f t="shared" si="1"/>
        <v>117.64705882352941</v>
      </c>
      <c r="L51" s="307">
        <v>17</v>
      </c>
      <c r="M51" s="19">
        <f t="shared" si="39"/>
        <v>1909.9999999999989</v>
      </c>
      <c r="N51" s="19">
        <f t="shared" si="3"/>
        <v>112.35294117647052</v>
      </c>
      <c r="O51" s="20">
        <f t="shared" si="4"/>
        <v>0</v>
      </c>
      <c r="P51" s="21">
        <f t="shared" si="5"/>
        <v>-5.2941176470588829</v>
      </c>
      <c r="Q51" s="305">
        <f t="shared" si="6"/>
        <v>0.95499999999999952</v>
      </c>
      <c r="R51" s="573"/>
      <c r="S51" s="49">
        <v>0.70833333333333337</v>
      </c>
      <c r="T51" s="49">
        <v>0.76250000000000007</v>
      </c>
      <c r="U51" s="301" t="str">
        <f t="shared" si="38"/>
        <v/>
      </c>
      <c r="V51" s="308">
        <f t="shared" si="37"/>
        <v>78.000000000000043</v>
      </c>
      <c r="W51" s="25"/>
      <c r="X51" s="25"/>
      <c r="Y51" s="28"/>
      <c r="Z51" s="28"/>
      <c r="AA51" s="568"/>
      <c r="AB51" s="569"/>
      <c r="AC51" s="50"/>
      <c r="AD51" s="27"/>
      <c r="AE51" s="20">
        <f t="shared" si="8"/>
        <v>-90.000000000001137</v>
      </c>
      <c r="AF51" s="305">
        <f t="shared" si="9"/>
        <v>0.9549999999999994</v>
      </c>
      <c r="AG51" s="573"/>
    </row>
    <row r="52" spans="1:33" ht="15.75" customHeight="1">
      <c r="A52" s="582" t="s">
        <v>62</v>
      </c>
      <c r="B52" s="39" t="s">
        <v>74</v>
      </c>
      <c r="C52" s="566" t="s">
        <v>114</v>
      </c>
      <c r="D52" s="567"/>
      <c r="E52" s="39">
        <v>54.29</v>
      </c>
      <c r="F52" s="45">
        <v>1231</v>
      </c>
      <c r="G52" s="301">
        <f t="shared" si="35"/>
        <v>66830.990000000005</v>
      </c>
      <c r="H52" s="48" t="s">
        <v>126</v>
      </c>
      <c r="I52" s="307">
        <v>20</v>
      </c>
      <c r="J52" s="43">
        <v>2000</v>
      </c>
      <c r="K52" s="18">
        <f t="shared" si="1"/>
        <v>100</v>
      </c>
      <c r="L52" s="307">
        <v>20</v>
      </c>
      <c r="M52" s="19">
        <f t="shared" si="39"/>
        <v>1943.6842105263142</v>
      </c>
      <c r="N52" s="19">
        <f t="shared" si="3"/>
        <v>97.184210526315709</v>
      </c>
      <c r="O52" s="20">
        <f t="shared" si="4"/>
        <v>0</v>
      </c>
      <c r="P52" s="21">
        <f t="shared" si="5"/>
        <v>-2.8157894736842906</v>
      </c>
      <c r="Q52" s="305">
        <f t="shared" si="6"/>
        <v>0.97184210526315706</v>
      </c>
      <c r="R52" s="573"/>
      <c r="S52" s="49">
        <v>0.7680555555555556</v>
      </c>
      <c r="T52" s="49">
        <v>0.79444444444444451</v>
      </c>
      <c r="U52" s="301">
        <f t="shared" si="38"/>
        <v>7.9999999999999716</v>
      </c>
      <c r="V52" s="308">
        <f t="shared" si="37"/>
        <v>38.000000000000028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-56.315789473685754</v>
      </c>
      <c r="AF52" s="305">
        <f t="shared" si="9"/>
        <v>0.97184210526315717</v>
      </c>
      <c r="AG52" s="573"/>
    </row>
    <row r="53" spans="1:33">
      <c r="A53" s="583" t="s">
        <v>62</v>
      </c>
      <c r="B53" s="39" t="s">
        <v>46</v>
      </c>
      <c r="C53" s="576"/>
      <c r="D53" s="576"/>
      <c r="E53" s="306"/>
      <c r="F53" s="42"/>
      <c r="G53" s="18"/>
      <c r="H53" s="309"/>
      <c r="I53" s="32">
        <v>19.285714285714285</v>
      </c>
      <c r="J53" s="43">
        <v>2000</v>
      </c>
      <c r="K53" s="18">
        <f t="shared" si="1"/>
        <v>103.70370370370371</v>
      </c>
      <c r="L53" s="32">
        <v>19.285714285714285</v>
      </c>
      <c r="M53" s="19">
        <f>AVERAGE(M46:M52)</f>
        <v>1926.6787942500625</v>
      </c>
      <c r="N53" s="18">
        <f t="shared" si="3"/>
        <v>99.9018634055588</v>
      </c>
      <c r="O53" s="20">
        <f t="shared" si="4"/>
        <v>0</v>
      </c>
      <c r="P53" s="21">
        <f t="shared" si="5"/>
        <v>-3.80184029814491</v>
      </c>
      <c r="Q53" s="305">
        <f t="shared" si="6"/>
        <v>0.96333939712503125</v>
      </c>
      <c r="R53" s="573"/>
      <c r="S53" s="49"/>
      <c r="T53" s="49"/>
      <c r="U53" s="301"/>
      <c r="V53" s="308"/>
      <c r="W53" s="18"/>
      <c r="X53" s="18"/>
      <c r="Y53" s="33">
        <f>SUM(Y46:Y52)</f>
        <v>0</v>
      </c>
      <c r="Z53" s="33">
        <f>SUM(Z46:Z52)</f>
        <v>0</v>
      </c>
      <c r="AA53" s="572"/>
      <c r="AB53" s="572"/>
      <c r="AC53" s="33">
        <v>7</v>
      </c>
      <c r="AD53" s="33">
        <f>SUM(AD46:AD52)</f>
        <v>0</v>
      </c>
      <c r="AE53" s="20">
        <f>M53-J53</f>
        <v>-73.321205749937462</v>
      </c>
      <c r="AF53" s="305">
        <f t="shared" si="9"/>
        <v>0.96333939712503125</v>
      </c>
      <c r="AG53" s="573"/>
    </row>
    <row r="54" spans="1:33" ht="15.75" customHeight="1">
      <c r="A54" s="580" t="s">
        <v>67</v>
      </c>
      <c r="B54" s="309" t="s">
        <v>104</v>
      </c>
      <c r="C54" s="574" t="s">
        <v>115</v>
      </c>
      <c r="D54" s="574"/>
      <c r="E54" s="39">
        <v>34.36</v>
      </c>
      <c r="F54" s="45">
        <v>2529</v>
      </c>
      <c r="G54" s="301">
        <f t="shared" ref="G54:G59" si="40">E54*F54</f>
        <v>86896.44</v>
      </c>
      <c r="H54" s="48" t="s">
        <v>126</v>
      </c>
      <c r="I54" s="307">
        <v>10</v>
      </c>
      <c r="J54" s="43">
        <v>3000</v>
      </c>
      <c r="K54" s="18">
        <f t="shared" si="1"/>
        <v>300</v>
      </c>
      <c r="L54" s="307">
        <v>10</v>
      </c>
      <c r="M54" s="19">
        <f t="shared" ref="M54:M59" si="41">F54/V54*60</f>
        <v>2863.0188679245275</v>
      </c>
      <c r="N54" s="18">
        <f t="shared" si="3"/>
        <v>286.30188679245276</v>
      </c>
      <c r="O54" s="20">
        <f t="shared" si="4"/>
        <v>0</v>
      </c>
      <c r="P54" s="21">
        <f t="shared" si="5"/>
        <v>-13.698113207547237</v>
      </c>
      <c r="Q54" s="305">
        <f t="shared" si="6"/>
        <v>0.95433962264150918</v>
      </c>
      <c r="R54" s="573">
        <f>Q60</f>
        <v>0.95742122088102399</v>
      </c>
      <c r="S54" s="49">
        <v>0.20833333333333334</v>
      </c>
      <c r="T54" s="49">
        <v>0.24513888888888891</v>
      </c>
      <c r="U54" s="301"/>
      <c r="V54" s="308">
        <f t="shared" ref="V54:V59" si="42">(T54-S54)*24*60</f>
        <v>53.000000000000014</v>
      </c>
      <c r="W54" s="30"/>
      <c r="X54" s="30"/>
      <c r="Y54" s="30"/>
      <c r="Z54" s="30"/>
      <c r="AA54" s="575"/>
      <c r="AB54" s="575"/>
      <c r="AC54" s="50">
        <v>6</v>
      </c>
      <c r="AD54" s="27"/>
      <c r="AE54" s="20">
        <f t="shared" ref="AE54:AE70" si="43">M54-J54</f>
        <v>-136.98113207547249</v>
      </c>
      <c r="AF54" s="305">
        <f t="shared" si="9"/>
        <v>0.95433962264150918</v>
      </c>
      <c r="AG54" s="573">
        <f>AF60</f>
        <v>0.9574212208810241</v>
      </c>
    </row>
    <row r="55" spans="1:33" ht="15.75" customHeight="1">
      <c r="A55" s="580" t="s">
        <v>67</v>
      </c>
      <c r="B55" s="309" t="s">
        <v>104</v>
      </c>
      <c r="C55" s="574" t="s">
        <v>116</v>
      </c>
      <c r="D55" s="574"/>
      <c r="E55" s="39">
        <v>34.36</v>
      </c>
      <c r="F55" s="45">
        <v>1143</v>
      </c>
      <c r="G55" s="301">
        <f t="shared" si="40"/>
        <v>39273.479999999996</v>
      </c>
      <c r="H55" s="48" t="s">
        <v>126</v>
      </c>
      <c r="I55" s="307">
        <v>10</v>
      </c>
      <c r="J55" s="43">
        <v>3000</v>
      </c>
      <c r="K55" s="18">
        <f t="shared" si="1"/>
        <v>300</v>
      </c>
      <c r="L55" s="307">
        <v>10</v>
      </c>
      <c r="M55" s="19">
        <f t="shared" si="41"/>
        <v>2857.5000000000009</v>
      </c>
      <c r="N55" s="18">
        <f t="shared" si="3"/>
        <v>285.75000000000011</v>
      </c>
      <c r="O55" s="20">
        <f t="shared" si="4"/>
        <v>0</v>
      </c>
      <c r="P55" s="21">
        <f t="shared" si="5"/>
        <v>-14.249999999999886</v>
      </c>
      <c r="Q55" s="305">
        <f t="shared" si="6"/>
        <v>0.95250000000000035</v>
      </c>
      <c r="R55" s="573"/>
      <c r="S55" s="49">
        <v>0.25</v>
      </c>
      <c r="T55" s="49">
        <v>0.26666666666666666</v>
      </c>
      <c r="U55" s="301">
        <f t="shared" ref="U55:U59" si="44">(S55-T54)*24*60</f>
        <v>6.9999999999999751</v>
      </c>
      <c r="V55" s="308">
        <f t="shared" si="42"/>
        <v>23.999999999999993</v>
      </c>
      <c r="W55" s="301"/>
      <c r="X55" s="301"/>
      <c r="Y55" s="301"/>
      <c r="Z55" s="301"/>
      <c r="AA55" s="575"/>
      <c r="AB55" s="575"/>
      <c r="AC55" s="50"/>
      <c r="AD55" s="27"/>
      <c r="AE55" s="20">
        <f t="shared" si="43"/>
        <v>-142.49999999999909</v>
      </c>
      <c r="AF55" s="305">
        <f t="shared" si="9"/>
        <v>0.95250000000000035</v>
      </c>
      <c r="AG55" s="573"/>
    </row>
    <row r="56" spans="1:33" ht="15.75" customHeight="1">
      <c r="A56" s="580" t="s">
        <v>67</v>
      </c>
      <c r="B56" s="309" t="s">
        <v>104</v>
      </c>
      <c r="C56" s="574" t="s">
        <v>117</v>
      </c>
      <c r="D56" s="574"/>
      <c r="E56" s="39">
        <v>26.78</v>
      </c>
      <c r="F56" s="45">
        <v>2520</v>
      </c>
      <c r="G56" s="301">
        <f t="shared" si="40"/>
        <v>67485.600000000006</v>
      </c>
      <c r="H56" s="48" t="s">
        <v>126</v>
      </c>
      <c r="I56" s="307">
        <v>10</v>
      </c>
      <c r="J56" s="43">
        <v>3000</v>
      </c>
      <c r="K56" s="18">
        <f t="shared" si="1"/>
        <v>300</v>
      </c>
      <c r="L56" s="307">
        <v>10</v>
      </c>
      <c r="M56" s="19">
        <f t="shared" si="41"/>
        <v>2852.8301886792465</v>
      </c>
      <c r="N56" s="18">
        <f t="shared" si="3"/>
        <v>285.28301886792462</v>
      </c>
      <c r="O56" s="20">
        <f t="shared" si="4"/>
        <v>0</v>
      </c>
      <c r="P56" s="21">
        <f t="shared" si="5"/>
        <v>-14.716981132075375</v>
      </c>
      <c r="Q56" s="305">
        <f t="shared" si="6"/>
        <v>0.95094339622641544</v>
      </c>
      <c r="R56" s="573"/>
      <c r="S56" s="49">
        <v>0.2722222222222222</v>
      </c>
      <c r="T56" s="49">
        <v>0.30902777777777773</v>
      </c>
      <c r="U56" s="301">
        <f t="shared" si="44"/>
        <v>7.9999999999999716</v>
      </c>
      <c r="V56" s="308">
        <f t="shared" si="42"/>
        <v>52.999999999999972</v>
      </c>
      <c r="W56" s="301"/>
      <c r="X56" s="301"/>
      <c r="Y56" s="301"/>
      <c r="Z56" s="301"/>
      <c r="AA56" s="575"/>
      <c r="AB56" s="575"/>
      <c r="AC56" s="50"/>
      <c r="AD56" s="27"/>
      <c r="AE56" s="20">
        <f t="shared" si="43"/>
        <v>-147.16981132075352</v>
      </c>
      <c r="AF56" s="305">
        <f t="shared" si="9"/>
        <v>0.95094339622641544</v>
      </c>
      <c r="AG56" s="573"/>
    </row>
    <row r="57" spans="1:33" ht="15.75" customHeight="1">
      <c r="A57" s="580" t="s">
        <v>67</v>
      </c>
      <c r="B57" s="309" t="s">
        <v>104</v>
      </c>
      <c r="C57" s="574" t="s">
        <v>118</v>
      </c>
      <c r="D57" s="574"/>
      <c r="E57" s="39">
        <v>37.880000000000003</v>
      </c>
      <c r="F57" s="45">
        <v>1179</v>
      </c>
      <c r="G57" s="301">
        <f t="shared" si="40"/>
        <v>44660.520000000004</v>
      </c>
      <c r="H57" s="48" t="s">
        <v>126</v>
      </c>
      <c r="I57" s="307">
        <v>10</v>
      </c>
      <c r="J57" s="43">
        <v>3000</v>
      </c>
      <c r="K57" s="18">
        <f t="shared" si="1"/>
        <v>300</v>
      </c>
      <c r="L57" s="307">
        <v>10</v>
      </c>
      <c r="M57" s="19">
        <f t="shared" si="41"/>
        <v>2947.5000000000009</v>
      </c>
      <c r="N57" s="18">
        <f t="shared" si="3"/>
        <v>294.75000000000011</v>
      </c>
      <c r="O57" s="20">
        <f t="shared" si="4"/>
        <v>0</v>
      </c>
      <c r="P57" s="21">
        <f t="shared" si="5"/>
        <v>-5.2499999999998863</v>
      </c>
      <c r="Q57" s="305">
        <f t="shared" si="6"/>
        <v>0.98250000000000037</v>
      </c>
      <c r="R57" s="573"/>
      <c r="S57" s="49">
        <v>0.31319444444444439</v>
      </c>
      <c r="T57" s="49">
        <v>0.32986111111111105</v>
      </c>
      <c r="U57" s="301">
        <f t="shared" si="44"/>
        <v>5.9999999999999787</v>
      </c>
      <c r="V57" s="308">
        <f t="shared" si="42"/>
        <v>23.999999999999993</v>
      </c>
      <c r="W57" s="301"/>
      <c r="X57" s="301"/>
      <c r="Y57" s="301"/>
      <c r="Z57" s="301"/>
      <c r="AA57" s="575"/>
      <c r="AB57" s="575"/>
      <c r="AC57" s="50"/>
      <c r="AD57" s="27"/>
      <c r="AE57" s="20">
        <f t="shared" si="43"/>
        <v>-52.499999999999091</v>
      </c>
      <c r="AF57" s="305">
        <f t="shared" si="9"/>
        <v>0.98250000000000026</v>
      </c>
      <c r="AG57" s="573"/>
    </row>
    <row r="58" spans="1:33">
      <c r="A58" s="581" t="s">
        <v>67</v>
      </c>
      <c r="B58" s="309" t="s">
        <v>104</v>
      </c>
      <c r="C58" s="574" t="s">
        <v>119</v>
      </c>
      <c r="D58" s="574"/>
      <c r="E58" s="39">
        <v>35.869999999999997</v>
      </c>
      <c r="F58" s="45">
        <v>4006</v>
      </c>
      <c r="G58" s="301">
        <f t="shared" si="40"/>
        <v>143695.22</v>
      </c>
      <c r="H58" s="48" t="s">
        <v>126</v>
      </c>
      <c r="I58" s="307">
        <v>9</v>
      </c>
      <c r="J58" s="43">
        <v>3000</v>
      </c>
      <c r="K58" s="18">
        <f t="shared" si="1"/>
        <v>333.33333333333331</v>
      </c>
      <c r="L58" s="307">
        <v>9</v>
      </c>
      <c r="M58" s="19">
        <f t="shared" si="41"/>
        <v>2861.4285714285706</v>
      </c>
      <c r="N58" s="18">
        <f t="shared" si="3"/>
        <v>317.93650793650784</v>
      </c>
      <c r="O58" s="20">
        <f t="shared" si="4"/>
        <v>0</v>
      </c>
      <c r="P58" s="21">
        <f t="shared" si="5"/>
        <v>-15.396825396825477</v>
      </c>
      <c r="Q58" s="305">
        <f t="shared" si="6"/>
        <v>0.95380952380952355</v>
      </c>
      <c r="R58" s="573"/>
      <c r="S58" s="49">
        <v>0.33333333333333326</v>
      </c>
      <c r="T58" s="49">
        <v>0.39166666666666661</v>
      </c>
      <c r="U58" s="301">
        <f t="shared" si="44"/>
        <v>4.9999999999999822</v>
      </c>
      <c r="V58" s="308">
        <f t="shared" si="42"/>
        <v>84.000000000000028</v>
      </c>
      <c r="W58" s="25"/>
      <c r="X58" s="25"/>
      <c r="Y58" s="25"/>
      <c r="Z58" s="25"/>
      <c r="AA58" s="575"/>
      <c r="AB58" s="575"/>
      <c r="AC58" s="50"/>
      <c r="AD58" s="27"/>
      <c r="AE58" s="20">
        <f t="shared" si="43"/>
        <v>-138.57142857142935</v>
      </c>
      <c r="AF58" s="305">
        <f t="shared" si="9"/>
        <v>0.95380952380952355</v>
      </c>
      <c r="AG58" s="573"/>
    </row>
    <row r="59" spans="1:33" ht="15" customHeight="1">
      <c r="A59" s="581" t="s">
        <v>67</v>
      </c>
      <c r="B59" s="309" t="s">
        <v>104</v>
      </c>
      <c r="C59" s="566" t="s">
        <v>120</v>
      </c>
      <c r="D59" s="567"/>
      <c r="E59" s="39">
        <v>34.35</v>
      </c>
      <c r="F59" s="45">
        <v>2186</v>
      </c>
      <c r="G59" s="301">
        <f t="shared" si="40"/>
        <v>75089.100000000006</v>
      </c>
      <c r="H59" s="48" t="s">
        <v>126</v>
      </c>
      <c r="I59" s="307">
        <v>8</v>
      </c>
      <c r="J59" s="43">
        <v>3000</v>
      </c>
      <c r="K59" s="18">
        <f t="shared" si="1"/>
        <v>375</v>
      </c>
      <c r="L59" s="307">
        <v>8</v>
      </c>
      <c r="M59" s="19">
        <f t="shared" si="41"/>
        <v>2851.304347826087</v>
      </c>
      <c r="N59" s="18">
        <f t="shared" si="3"/>
        <v>356.41304347826087</v>
      </c>
      <c r="O59" s="20">
        <f t="shared" si="4"/>
        <v>0</v>
      </c>
      <c r="P59" s="21">
        <f t="shared" si="5"/>
        <v>-18.586956521739125</v>
      </c>
      <c r="Q59" s="305">
        <f t="shared" si="6"/>
        <v>0.95043478260869563</v>
      </c>
      <c r="R59" s="573"/>
      <c r="S59" s="49">
        <v>0.39583333333333326</v>
      </c>
      <c r="T59" s="49">
        <v>0.4277777777777777</v>
      </c>
      <c r="U59" s="301">
        <f t="shared" si="44"/>
        <v>5.9999999999999787</v>
      </c>
      <c r="V59" s="308">
        <f t="shared" si="42"/>
        <v>46</v>
      </c>
      <c r="W59" s="301"/>
      <c r="X59" s="301"/>
      <c r="Y59" s="304"/>
      <c r="Z59" s="304"/>
      <c r="AA59" s="568"/>
      <c r="AB59" s="569"/>
      <c r="AC59" s="50"/>
      <c r="AD59" s="27"/>
      <c r="AE59" s="20">
        <f t="shared" si="43"/>
        <v>-148.695652173913</v>
      </c>
      <c r="AF59" s="305">
        <f t="shared" si="9"/>
        <v>0.95043478260869563</v>
      </c>
      <c r="AG59" s="573"/>
    </row>
    <row r="60" spans="1:33">
      <c r="A60" s="581" t="s">
        <v>67</v>
      </c>
      <c r="B60" s="39" t="s">
        <v>46</v>
      </c>
      <c r="C60" s="576"/>
      <c r="D60" s="576"/>
      <c r="E60" s="306"/>
      <c r="F60" s="42"/>
      <c r="G60" s="18"/>
      <c r="H60" s="309"/>
      <c r="I60" s="32">
        <v>9.5</v>
      </c>
      <c r="J60" s="43">
        <v>3000</v>
      </c>
      <c r="K60" s="18">
        <f t="shared" si="1"/>
        <v>315.78947368421052</v>
      </c>
      <c r="L60" s="32">
        <v>9.5</v>
      </c>
      <c r="M60" s="19">
        <f>AVERAGE(M54:M59)</f>
        <v>2872.2636626430722</v>
      </c>
      <c r="N60" s="18">
        <f t="shared" si="3"/>
        <v>302.34354343611284</v>
      </c>
      <c r="O60" s="20">
        <f t="shared" si="4"/>
        <v>0</v>
      </c>
      <c r="P60" s="21">
        <f t="shared" si="5"/>
        <v>-13.445930248097682</v>
      </c>
      <c r="Q60" s="305">
        <f t="shared" si="6"/>
        <v>0.95742122088102399</v>
      </c>
      <c r="R60" s="573"/>
      <c r="S60" s="49"/>
      <c r="T60" s="49"/>
      <c r="U60" s="18"/>
      <c r="V60" s="308"/>
      <c r="W60" s="18"/>
      <c r="X60" s="18"/>
      <c r="Y60" s="33">
        <f>SUM(Y54:Y59)</f>
        <v>0</v>
      </c>
      <c r="Z60" s="33">
        <f>SUM(Z54:Z59)</f>
        <v>0</v>
      </c>
      <c r="AA60" s="572"/>
      <c r="AB60" s="572"/>
      <c r="AC60" s="33">
        <v>6</v>
      </c>
      <c r="AD60" s="33">
        <f>SUM(AD54:AD59)</f>
        <v>0</v>
      </c>
      <c r="AE60" s="20">
        <f t="shared" si="43"/>
        <v>-127.73633735692783</v>
      </c>
      <c r="AF60" s="305">
        <f t="shared" si="9"/>
        <v>0.9574212208810241</v>
      </c>
      <c r="AG60" s="573"/>
    </row>
    <row r="61" spans="1:33" ht="15.75" customHeight="1">
      <c r="A61" s="577" t="s">
        <v>71</v>
      </c>
      <c r="B61" s="309" t="s">
        <v>94</v>
      </c>
      <c r="C61" s="574" t="s">
        <v>124</v>
      </c>
      <c r="D61" s="574"/>
      <c r="E61" s="39">
        <v>22.69</v>
      </c>
      <c r="F61" s="309">
        <v>3100</v>
      </c>
      <c r="G61" s="301">
        <f t="shared" ref="G61:G69" si="45">E61*F61</f>
        <v>70339</v>
      </c>
      <c r="H61" s="48">
        <v>2</v>
      </c>
      <c r="I61" s="307">
        <v>15</v>
      </c>
      <c r="J61" s="43">
        <v>2400</v>
      </c>
      <c r="K61" s="18">
        <f t="shared" si="1"/>
        <v>160</v>
      </c>
      <c r="L61" s="307">
        <v>15</v>
      </c>
      <c r="M61" s="19">
        <f t="shared" ref="M61:M69" si="46">F61/V61*60</f>
        <v>2296.2962962962965</v>
      </c>
      <c r="N61" s="18">
        <f t="shared" si="3"/>
        <v>153.08641975308643</v>
      </c>
      <c r="O61" s="20">
        <f t="shared" si="4"/>
        <v>0</v>
      </c>
      <c r="P61" s="21">
        <f t="shared" si="5"/>
        <v>-6.9135802469135683</v>
      </c>
      <c r="Q61" s="305">
        <f t="shared" si="6"/>
        <v>0.95679012345679015</v>
      </c>
      <c r="R61" s="573">
        <f>Q70</f>
        <v>0.95625231050312709</v>
      </c>
      <c r="S61" s="49">
        <v>8.3333333333333329E-2</v>
      </c>
      <c r="T61" s="49">
        <v>0.13958333333333334</v>
      </c>
      <c r="U61" s="30"/>
      <c r="V61" s="308">
        <f t="shared" ref="V61:V69" si="47">(T61-S61)*24*60</f>
        <v>81</v>
      </c>
      <c r="W61" s="25">
        <f>T61</f>
        <v>0.13958333333333334</v>
      </c>
      <c r="X61" s="25">
        <f>S62</f>
        <v>0.15694444444444441</v>
      </c>
      <c r="Y61" s="25"/>
      <c r="Z61" s="25"/>
      <c r="AA61" s="575"/>
      <c r="AB61" s="575"/>
      <c r="AC61" s="50">
        <v>9</v>
      </c>
      <c r="AD61" s="27"/>
      <c r="AE61" s="20">
        <f t="shared" si="43"/>
        <v>-103.70370370370347</v>
      </c>
      <c r="AF61" s="305">
        <f t="shared" si="9"/>
        <v>0.95679012345679026</v>
      </c>
      <c r="AG61" s="573">
        <f>AF70</f>
        <v>0.95625231050312698</v>
      </c>
    </row>
    <row r="62" spans="1:33" ht="15.75" customHeight="1">
      <c r="A62" s="578" t="s">
        <v>71</v>
      </c>
      <c r="B62" s="309" t="s">
        <v>94</v>
      </c>
      <c r="C62" s="574" t="s">
        <v>123</v>
      </c>
      <c r="D62" s="574"/>
      <c r="E62" s="39">
        <v>20.21</v>
      </c>
      <c r="F62" s="309">
        <v>3960</v>
      </c>
      <c r="G62" s="301">
        <f t="shared" si="45"/>
        <v>80031.600000000006</v>
      </c>
      <c r="H62" s="48" t="s">
        <v>126</v>
      </c>
      <c r="I62" s="307">
        <v>15</v>
      </c>
      <c r="J62" s="43">
        <v>2400</v>
      </c>
      <c r="K62" s="18">
        <f t="shared" si="1"/>
        <v>160</v>
      </c>
      <c r="L62" s="307">
        <v>15</v>
      </c>
      <c r="M62" s="19">
        <f t="shared" si="46"/>
        <v>2306.7961165048546</v>
      </c>
      <c r="N62" s="18">
        <f t="shared" si="3"/>
        <v>153.78640776699029</v>
      </c>
      <c r="O62" s="20">
        <f t="shared" si="4"/>
        <v>0</v>
      </c>
      <c r="P62" s="21">
        <f t="shared" si="5"/>
        <v>-6.213592233009706</v>
      </c>
      <c r="Q62" s="305">
        <f t="shared" si="6"/>
        <v>0.96116504854368934</v>
      </c>
      <c r="R62" s="573"/>
      <c r="S62" s="49">
        <v>0.15694444444444441</v>
      </c>
      <c r="T62" s="49">
        <v>0.22847222222222219</v>
      </c>
      <c r="U62" s="301">
        <f t="shared" ref="U62:U69" si="48">(S62-T61)*24*60</f>
        <v>24.99999999999995</v>
      </c>
      <c r="V62" s="308">
        <f t="shared" si="47"/>
        <v>103</v>
      </c>
      <c r="W62" s="25"/>
      <c r="X62" s="25"/>
      <c r="Y62" s="25"/>
      <c r="Z62" s="25"/>
      <c r="AA62" s="575"/>
      <c r="AB62" s="575"/>
      <c r="AC62" s="50"/>
      <c r="AD62" s="27"/>
      <c r="AE62" s="20">
        <f t="shared" si="43"/>
        <v>-93.203883495145419</v>
      </c>
      <c r="AF62" s="305">
        <f t="shared" si="9"/>
        <v>0.96116504854368945</v>
      </c>
      <c r="AG62" s="573"/>
    </row>
    <row r="63" spans="1:33" ht="15.75" customHeight="1">
      <c r="A63" s="578" t="s">
        <v>71</v>
      </c>
      <c r="B63" s="309" t="s">
        <v>94</v>
      </c>
      <c r="C63" s="574" t="s">
        <v>125</v>
      </c>
      <c r="D63" s="574"/>
      <c r="E63" s="39">
        <v>19.02</v>
      </c>
      <c r="F63" s="309">
        <v>6500</v>
      </c>
      <c r="G63" s="301">
        <f t="shared" si="45"/>
        <v>123630</v>
      </c>
      <c r="H63" s="48">
        <v>2</v>
      </c>
      <c r="I63" s="307">
        <v>14</v>
      </c>
      <c r="J63" s="43">
        <v>2400</v>
      </c>
      <c r="K63" s="18">
        <f t="shared" si="1"/>
        <v>171.42857142857142</v>
      </c>
      <c r="L63" s="307">
        <v>14</v>
      </c>
      <c r="M63" s="19">
        <f t="shared" si="46"/>
        <v>2294.1176470588239</v>
      </c>
      <c r="N63" s="18">
        <f t="shared" si="3"/>
        <v>163.86554621848742</v>
      </c>
      <c r="O63" s="20">
        <f t="shared" si="4"/>
        <v>0</v>
      </c>
      <c r="P63" s="21">
        <f t="shared" si="5"/>
        <v>-7.5630252100839925</v>
      </c>
      <c r="Q63" s="305">
        <f t="shared" si="6"/>
        <v>0.95588235294117674</v>
      </c>
      <c r="R63" s="573"/>
      <c r="S63" s="49">
        <v>0.23333333333333331</v>
      </c>
      <c r="T63" s="49">
        <v>0.35138888888888886</v>
      </c>
      <c r="U63" s="301">
        <f t="shared" si="48"/>
        <v>7.0000000000000151</v>
      </c>
      <c r="V63" s="308">
        <f t="shared" si="47"/>
        <v>169.99999999999997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-105.88235294117612</v>
      </c>
      <c r="AF63" s="305">
        <f t="shared" si="9"/>
        <v>0.95588235294117663</v>
      </c>
      <c r="AG63" s="573"/>
    </row>
    <row r="64" spans="1:33" ht="15.75" customHeight="1">
      <c r="A64" s="578" t="s">
        <v>71</v>
      </c>
      <c r="B64" s="309" t="s">
        <v>94</v>
      </c>
      <c r="C64" s="574" t="s">
        <v>99</v>
      </c>
      <c r="D64" s="574"/>
      <c r="E64" s="39">
        <v>20.36</v>
      </c>
      <c r="F64" s="309">
        <v>3600</v>
      </c>
      <c r="G64" s="301">
        <f t="shared" si="45"/>
        <v>73296</v>
      </c>
      <c r="H64" s="48">
        <v>2</v>
      </c>
      <c r="I64" s="307">
        <v>17</v>
      </c>
      <c r="J64" s="43">
        <v>2400</v>
      </c>
      <c r="K64" s="18">
        <f t="shared" si="1"/>
        <v>141.1764705882353</v>
      </c>
      <c r="L64" s="307">
        <v>17</v>
      </c>
      <c r="M64" s="19">
        <f t="shared" si="46"/>
        <v>2297.872340425532</v>
      </c>
      <c r="N64" s="18">
        <f t="shared" si="3"/>
        <v>135.16896120150187</v>
      </c>
      <c r="O64" s="20">
        <f t="shared" si="4"/>
        <v>0</v>
      </c>
      <c r="P64" s="21">
        <f t="shared" si="5"/>
        <v>-6.0075093867334317</v>
      </c>
      <c r="Q64" s="305">
        <f t="shared" si="6"/>
        <v>0.95744680851063824</v>
      </c>
      <c r="R64" s="573"/>
      <c r="S64" s="49">
        <v>0.35486111111111107</v>
      </c>
      <c r="T64" s="49">
        <v>0.42013888888888884</v>
      </c>
      <c r="U64" s="301">
        <f t="shared" si="48"/>
        <v>4.9999999999999822</v>
      </c>
      <c r="V64" s="308">
        <f t="shared" si="47"/>
        <v>93.999999999999986</v>
      </c>
      <c r="W64" s="25"/>
      <c r="X64" s="25"/>
      <c r="Y64" s="25"/>
      <c r="Z64" s="25"/>
      <c r="AA64" s="575"/>
      <c r="AB64" s="575"/>
      <c r="AC64" s="50"/>
      <c r="AD64" s="27"/>
      <c r="AE64" s="20">
        <f t="shared" si="43"/>
        <v>-102.127659574468</v>
      </c>
      <c r="AF64" s="305">
        <f t="shared" si="9"/>
        <v>0.95744680851063835</v>
      </c>
      <c r="AG64" s="573"/>
    </row>
    <row r="65" spans="1:33" ht="15.75" customHeight="1">
      <c r="A65" s="578" t="s">
        <v>71</v>
      </c>
      <c r="B65" s="309" t="s">
        <v>94</v>
      </c>
      <c r="C65" s="574" t="s">
        <v>1231</v>
      </c>
      <c r="D65" s="574"/>
      <c r="E65" s="39">
        <v>25.99</v>
      </c>
      <c r="F65" s="309">
        <v>3700</v>
      </c>
      <c r="G65" s="301">
        <f t="shared" si="45"/>
        <v>96163</v>
      </c>
      <c r="H65" s="48">
        <v>2</v>
      </c>
      <c r="I65" s="307">
        <v>19</v>
      </c>
      <c r="J65" s="43">
        <v>2400</v>
      </c>
      <c r="K65" s="18">
        <f t="shared" si="1"/>
        <v>126.31578947368421</v>
      </c>
      <c r="L65" s="307">
        <v>19</v>
      </c>
      <c r="M65" s="19">
        <f t="shared" si="46"/>
        <v>2288.6597938144337</v>
      </c>
      <c r="N65" s="18">
        <f t="shared" si="3"/>
        <v>120.4557786218123</v>
      </c>
      <c r="O65" s="20">
        <f t="shared" si="4"/>
        <v>0</v>
      </c>
      <c r="P65" s="21">
        <f t="shared" si="5"/>
        <v>-5.8600108518719054</v>
      </c>
      <c r="Q65" s="305">
        <f t="shared" si="6"/>
        <v>0.9536082474226808</v>
      </c>
      <c r="R65" s="573"/>
      <c r="S65" s="49">
        <v>0.42361111111111105</v>
      </c>
      <c r="T65" s="49">
        <v>0.49097222222222214</v>
      </c>
      <c r="U65" s="301">
        <f t="shared" si="48"/>
        <v>4.9999999999999822</v>
      </c>
      <c r="V65" s="308">
        <f t="shared" si="47"/>
        <v>96.999999999999972</v>
      </c>
      <c r="W65" s="25">
        <f>T65</f>
        <v>0.49097222222222214</v>
      </c>
      <c r="X65" s="25">
        <f>S66</f>
        <v>0.53124999999999989</v>
      </c>
      <c r="Y65" s="25"/>
      <c r="Z65" s="25"/>
      <c r="AA65" s="575"/>
      <c r="AB65" s="575"/>
      <c r="AC65" s="50"/>
      <c r="AD65" s="27"/>
      <c r="AE65" s="20">
        <f t="shared" si="43"/>
        <v>-111.34020618556633</v>
      </c>
      <c r="AF65" s="305">
        <f t="shared" si="9"/>
        <v>0.95360824742268069</v>
      </c>
      <c r="AG65" s="573"/>
    </row>
    <row r="66" spans="1:33" ht="15.75" customHeight="1">
      <c r="A66" s="578" t="s">
        <v>71</v>
      </c>
      <c r="B66" s="309" t="s">
        <v>94</v>
      </c>
      <c r="C66" s="574" t="s">
        <v>125</v>
      </c>
      <c r="D66" s="574"/>
      <c r="E66" s="39">
        <v>19.02</v>
      </c>
      <c r="F66" s="309">
        <v>5147</v>
      </c>
      <c r="G66" s="301">
        <f t="shared" si="45"/>
        <v>97895.94</v>
      </c>
      <c r="H66" s="48" t="s">
        <v>126</v>
      </c>
      <c r="I66" s="307">
        <v>14</v>
      </c>
      <c r="J66" s="43">
        <v>2400</v>
      </c>
      <c r="K66" s="18">
        <f t="shared" si="1"/>
        <v>171.42857142857142</v>
      </c>
      <c r="L66" s="307">
        <v>14</v>
      </c>
      <c r="M66" s="19">
        <f t="shared" si="46"/>
        <v>2287.5555555555557</v>
      </c>
      <c r="N66" s="18">
        <f t="shared" si="3"/>
        <v>163.39682539682539</v>
      </c>
      <c r="O66" s="20">
        <f t="shared" si="4"/>
        <v>0</v>
      </c>
      <c r="P66" s="21">
        <f t="shared" si="5"/>
        <v>-8.0317460317460245</v>
      </c>
      <c r="Q66" s="305">
        <f t="shared" si="6"/>
        <v>0.95314814814814819</v>
      </c>
      <c r="R66" s="573"/>
      <c r="S66" s="49">
        <v>0.53124999999999989</v>
      </c>
      <c r="T66" s="49">
        <v>0.62499999999999989</v>
      </c>
      <c r="U66" s="301">
        <f t="shared" si="48"/>
        <v>57.999999999999957</v>
      </c>
      <c r="V66" s="308">
        <f t="shared" si="47"/>
        <v>135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-112.44444444444434</v>
      </c>
      <c r="AF66" s="305">
        <f t="shared" si="9"/>
        <v>0.95314814814814819</v>
      </c>
      <c r="AG66" s="573"/>
    </row>
    <row r="67" spans="1:33" ht="15.75" customHeight="1">
      <c r="A67" s="578" t="s">
        <v>71</v>
      </c>
      <c r="B67" s="309" t="s">
        <v>94</v>
      </c>
      <c r="C67" s="566" t="s">
        <v>99</v>
      </c>
      <c r="D67" s="567"/>
      <c r="E67" s="39">
        <v>20.36</v>
      </c>
      <c r="F67" s="309">
        <v>2732</v>
      </c>
      <c r="G67" s="301">
        <f t="shared" si="45"/>
        <v>55623.519999999997</v>
      </c>
      <c r="H67" s="48" t="s">
        <v>126</v>
      </c>
      <c r="I67" s="307">
        <v>17</v>
      </c>
      <c r="J67" s="43">
        <v>2400</v>
      </c>
      <c r="K67" s="18">
        <f t="shared" si="1"/>
        <v>141.1764705882353</v>
      </c>
      <c r="L67" s="307">
        <v>17</v>
      </c>
      <c r="M67" s="19">
        <f t="shared" si="46"/>
        <v>2308.732394366195</v>
      </c>
      <c r="N67" s="18">
        <f t="shared" si="3"/>
        <v>135.80778790389382</v>
      </c>
      <c r="O67" s="20">
        <f t="shared" si="4"/>
        <v>0</v>
      </c>
      <c r="P67" s="21">
        <f t="shared" si="5"/>
        <v>-5.3686826843414792</v>
      </c>
      <c r="Q67" s="305">
        <f t="shared" si="6"/>
        <v>0.96197183098591454</v>
      </c>
      <c r="R67" s="573"/>
      <c r="S67" s="49">
        <v>0.62916666666666654</v>
      </c>
      <c r="T67" s="49">
        <v>0.67847222222222214</v>
      </c>
      <c r="U67" s="301">
        <f t="shared" si="48"/>
        <v>5.9999999999999787</v>
      </c>
      <c r="V67" s="308">
        <f t="shared" si="47"/>
        <v>71.000000000000071</v>
      </c>
      <c r="W67" s="25"/>
      <c r="X67" s="25"/>
      <c r="Y67" s="28"/>
      <c r="Z67" s="28"/>
      <c r="AA67" s="568"/>
      <c r="AB67" s="569"/>
      <c r="AC67" s="50"/>
      <c r="AD67" s="27"/>
      <c r="AE67" s="20">
        <f t="shared" si="43"/>
        <v>-91.267605633805033</v>
      </c>
      <c r="AF67" s="305">
        <f t="shared" si="9"/>
        <v>0.96197183098591454</v>
      </c>
      <c r="AG67" s="573"/>
    </row>
    <row r="68" spans="1:33" ht="15.75" customHeight="1">
      <c r="A68" s="578" t="s">
        <v>71</v>
      </c>
      <c r="B68" s="309" t="s">
        <v>94</v>
      </c>
      <c r="C68" s="566" t="s">
        <v>1231</v>
      </c>
      <c r="D68" s="567"/>
      <c r="E68" s="39">
        <v>25.99</v>
      </c>
      <c r="F68" s="309">
        <v>2633</v>
      </c>
      <c r="G68" s="301">
        <f t="shared" si="45"/>
        <v>68431.67</v>
      </c>
      <c r="H68" s="48" t="s">
        <v>126</v>
      </c>
      <c r="I68" s="307">
        <v>19</v>
      </c>
      <c r="J68" s="43">
        <v>2400</v>
      </c>
      <c r="K68" s="18">
        <f t="shared" si="1"/>
        <v>126.31578947368421</v>
      </c>
      <c r="L68" s="307">
        <v>19</v>
      </c>
      <c r="M68" s="19">
        <f t="shared" si="46"/>
        <v>2289.5652173913072</v>
      </c>
      <c r="N68" s="18">
        <f t="shared" si="3"/>
        <v>120.50343249427932</v>
      </c>
      <c r="O68" s="20">
        <f t="shared" si="4"/>
        <v>0</v>
      </c>
      <c r="P68" s="21">
        <f t="shared" si="5"/>
        <v>-5.8123569794048819</v>
      </c>
      <c r="Q68" s="305">
        <f t="shared" si="6"/>
        <v>0.95398550724637798</v>
      </c>
      <c r="R68" s="573"/>
      <c r="S68" s="49">
        <v>0.68402777777777768</v>
      </c>
      <c r="T68" s="49">
        <v>0.73194444444444429</v>
      </c>
      <c r="U68" s="301">
        <f t="shared" si="48"/>
        <v>7.9999999999999716</v>
      </c>
      <c r="V68" s="308">
        <f t="shared" si="47"/>
        <v>68.999999999999915</v>
      </c>
      <c r="W68" s="25"/>
      <c r="X68" s="25"/>
      <c r="Y68" s="28"/>
      <c r="Z68" s="28"/>
      <c r="AA68" s="568"/>
      <c r="AB68" s="569"/>
      <c r="AC68" s="50"/>
      <c r="AD68" s="27"/>
      <c r="AE68" s="20">
        <f t="shared" si="43"/>
        <v>-110.43478260869279</v>
      </c>
      <c r="AF68" s="305">
        <f t="shared" si="9"/>
        <v>0.95398550724637798</v>
      </c>
      <c r="AG68" s="573"/>
    </row>
    <row r="69" spans="1:33" ht="15.75" customHeight="1">
      <c r="A69" s="578" t="s">
        <v>71</v>
      </c>
      <c r="B69" s="309" t="s">
        <v>94</v>
      </c>
      <c r="C69" s="566" t="s">
        <v>124</v>
      </c>
      <c r="D69" s="567"/>
      <c r="E69" s="39">
        <v>22.69</v>
      </c>
      <c r="F69" s="309">
        <v>2095</v>
      </c>
      <c r="G69" s="301">
        <f t="shared" si="45"/>
        <v>47535.55</v>
      </c>
      <c r="H69" s="48" t="s">
        <v>126</v>
      </c>
      <c r="I69" s="307">
        <v>15</v>
      </c>
      <c r="J69" s="43">
        <v>2400</v>
      </c>
      <c r="K69" s="18">
        <f t="shared" ref="K69:K70" si="49">J69/I69</f>
        <v>160</v>
      </c>
      <c r="L69" s="307">
        <v>15</v>
      </c>
      <c r="M69" s="19">
        <f t="shared" si="46"/>
        <v>2285.4545454545469</v>
      </c>
      <c r="N69" s="18">
        <f t="shared" ref="N69:N70" si="50">M69/L69</f>
        <v>152.36363636363646</v>
      </c>
      <c r="O69" s="20">
        <f t="shared" ref="O69:O70" si="51">L69-I69</f>
        <v>0</v>
      </c>
      <c r="P69" s="21">
        <f t="shared" ref="P69:P70" si="52">N69-K69</f>
        <v>-7.6363636363635408</v>
      </c>
      <c r="Q69" s="305">
        <f t="shared" ref="Q69:Q70" si="53">N69/K69</f>
        <v>0.95227272727272783</v>
      </c>
      <c r="R69" s="573"/>
      <c r="S69" s="49">
        <v>0.73749999999999982</v>
      </c>
      <c r="T69" s="49">
        <v>0.77569444444444424</v>
      </c>
      <c r="U69" s="301">
        <f t="shared" si="48"/>
        <v>7.9999999999999716</v>
      </c>
      <c r="V69" s="308">
        <f t="shared" si="47"/>
        <v>54.999999999999964</v>
      </c>
      <c r="W69" s="25"/>
      <c r="X69" s="25"/>
      <c r="Y69" s="28"/>
      <c r="Z69" s="28"/>
      <c r="AA69" s="568"/>
      <c r="AB69" s="569"/>
      <c r="AC69" s="50"/>
      <c r="AD69" s="27"/>
      <c r="AE69" s="20">
        <f t="shared" si="43"/>
        <v>-114.54545454545314</v>
      </c>
      <c r="AF69" s="305">
        <f t="shared" ref="AF69:AF70" si="54">M69/J69</f>
        <v>0.95227272727272783</v>
      </c>
      <c r="AG69" s="573"/>
    </row>
    <row r="70" spans="1:33" ht="16.5" customHeight="1">
      <c r="A70" s="579" t="s">
        <v>71</v>
      </c>
      <c r="B70" s="39" t="s">
        <v>46</v>
      </c>
      <c r="C70" s="570"/>
      <c r="D70" s="571"/>
      <c r="E70" s="306"/>
      <c r="F70" s="42"/>
      <c r="G70" s="18"/>
      <c r="H70" s="309"/>
      <c r="I70" s="32">
        <v>16.111111111111111</v>
      </c>
      <c r="J70" s="43">
        <v>2400</v>
      </c>
      <c r="K70" s="18">
        <f t="shared" si="49"/>
        <v>148.9655172413793</v>
      </c>
      <c r="L70" s="32">
        <v>16.111111111111111</v>
      </c>
      <c r="M70" s="19">
        <f>AVERAGE(M61:M69)</f>
        <v>2295.0055452075048</v>
      </c>
      <c r="N70" s="18">
        <f t="shared" si="50"/>
        <v>142.44862004736237</v>
      </c>
      <c r="O70" s="20">
        <f t="shared" si="51"/>
        <v>0</v>
      </c>
      <c r="P70" s="21">
        <f t="shared" si="52"/>
        <v>-6.5168971940169342</v>
      </c>
      <c r="Q70" s="305">
        <f t="shared" si="53"/>
        <v>0.95625231050312709</v>
      </c>
      <c r="R70" s="573"/>
      <c r="S70" s="49"/>
      <c r="T70" s="49"/>
      <c r="U70" s="18"/>
      <c r="V70" s="308"/>
      <c r="W70" s="18"/>
      <c r="X70" s="18"/>
      <c r="Y70" s="33">
        <f>SUM(Y61:Y69)</f>
        <v>0</v>
      </c>
      <c r="Z70" s="33">
        <f>SUM(Z61:Z69)</f>
        <v>0</v>
      </c>
      <c r="AA70" s="572"/>
      <c r="AB70" s="572"/>
      <c r="AC70" s="33">
        <v>9</v>
      </c>
      <c r="AD70" s="33">
        <f>SUM(AD61:AD69)</f>
        <v>0</v>
      </c>
      <c r="AE70" s="20">
        <f t="shared" si="43"/>
        <v>-104.99445479249516</v>
      </c>
      <c r="AF70" s="305">
        <f t="shared" si="54"/>
        <v>0.95625231050312698</v>
      </c>
      <c r="AG70" s="573"/>
    </row>
    <row r="71" spans="1:33">
      <c r="D71" s="35"/>
      <c r="E71" s="35"/>
    </row>
  </sheetData>
  <mergeCells count="193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17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A18:A24"/>
    <mergeCell ref="C18:D18"/>
    <mergeCell ref="R18:R24"/>
    <mergeCell ref="AA18:AB18"/>
    <mergeCell ref="AA23:AB23"/>
    <mergeCell ref="C24:D24"/>
    <mergeCell ref="AA24:AB24"/>
    <mergeCell ref="A13:A17"/>
    <mergeCell ref="C13:D13"/>
    <mergeCell ref="R13:R17"/>
    <mergeCell ref="AA13:AB13"/>
    <mergeCell ref="AG25:AG32"/>
    <mergeCell ref="C26:D26"/>
    <mergeCell ref="AA26:AB26"/>
    <mergeCell ref="C27:D27"/>
    <mergeCell ref="AA27:AB27"/>
    <mergeCell ref="C28:D28"/>
    <mergeCell ref="AG18:AG24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8:AB28"/>
    <mergeCell ref="C29:D29"/>
    <mergeCell ref="AA29:AB29"/>
    <mergeCell ref="C30:D30"/>
    <mergeCell ref="AA30:AB30"/>
    <mergeCell ref="C31:D31"/>
    <mergeCell ref="AA31:AB31"/>
    <mergeCell ref="A25:A32"/>
    <mergeCell ref="C25:D25"/>
    <mergeCell ref="R25:R32"/>
    <mergeCell ref="AA25:AB25"/>
    <mergeCell ref="C32:D32"/>
    <mergeCell ref="AA32:AB32"/>
    <mergeCell ref="A33:A40"/>
    <mergeCell ref="C33:D33"/>
    <mergeCell ref="R33:R40"/>
    <mergeCell ref="AA33:AB33"/>
    <mergeCell ref="AA38:AB38"/>
    <mergeCell ref="C39:D39"/>
    <mergeCell ref="AA39:AB39"/>
    <mergeCell ref="C40:D40"/>
    <mergeCell ref="AA40:AB40"/>
    <mergeCell ref="A41:A45"/>
    <mergeCell ref="C41:D41"/>
    <mergeCell ref="R41:R45"/>
    <mergeCell ref="AA41:AB41"/>
    <mergeCell ref="AG41:AG45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AG33:AG40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G54:AG60"/>
    <mergeCell ref="C55:D55"/>
    <mergeCell ref="AA55:AB55"/>
    <mergeCell ref="C56:D56"/>
    <mergeCell ref="AA56:AB56"/>
    <mergeCell ref="AG46:AG53"/>
    <mergeCell ref="C47:D47"/>
    <mergeCell ref="AA47:AB47"/>
    <mergeCell ref="C48:D48"/>
    <mergeCell ref="AA48:AB48"/>
    <mergeCell ref="AA49:AB49"/>
    <mergeCell ref="AA50:AB50"/>
    <mergeCell ref="C51:D51"/>
    <mergeCell ref="AA51:AB51"/>
    <mergeCell ref="C52:D52"/>
    <mergeCell ref="C57:D57"/>
    <mergeCell ref="AA57:AB57"/>
    <mergeCell ref="C58:D58"/>
    <mergeCell ref="AA58:AB58"/>
    <mergeCell ref="C59:D59"/>
    <mergeCell ref="AA59:AB59"/>
    <mergeCell ref="AA53:AB53"/>
    <mergeCell ref="A54:A60"/>
    <mergeCell ref="C54:D54"/>
    <mergeCell ref="R54:R60"/>
    <mergeCell ref="AA54:AB54"/>
    <mergeCell ref="C60:D60"/>
    <mergeCell ref="AA60:AB60"/>
    <mergeCell ref="A46:A53"/>
    <mergeCell ref="C46:D46"/>
    <mergeCell ref="R46:R53"/>
    <mergeCell ref="AA46:AB46"/>
    <mergeCell ref="AA52:AB52"/>
    <mergeCell ref="C53:D53"/>
    <mergeCell ref="A61:A70"/>
    <mergeCell ref="C61:D61"/>
    <mergeCell ref="R61:R70"/>
    <mergeCell ref="AA61:AB61"/>
    <mergeCell ref="AA66:AB66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AG61:AG70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</mergeCells>
  <phoneticPr fontId="3" type="noConversion"/>
  <conditionalFormatting sqref="O57:O66 O53:O54 O70 O5:O9 O12:O14 O17:O51">
    <cfRule type="cellIs" dxfId="990" priority="51" operator="greaterThan">
      <formula>0</formula>
    </cfRule>
  </conditionalFormatting>
  <conditionalFormatting sqref="P5:P7 P57:P59 AE57:AE59 P61:P66 P25:P31 P54 P9 P12:P14 P18:P23 P46:P51 P33:P44 AE5:AE54 AE61:AE70">
    <cfRule type="cellIs" dxfId="989" priority="55" operator="lessThan">
      <formula>0</formula>
    </cfRule>
  </conditionalFormatting>
  <conditionalFormatting sqref="AF57:AF59 Q57:Q66 Q53:Q54 Q70 Q5:Q9 Q12:Q14 Q17:Q51 AF5:AF54 AF61:AF70">
    <cfRule type="cellIs" dxfId="988" priority="52" operator="greaterThan">
      <formula>1</formula>
    </cfRule>
    <cfRule type="cellIs" dxfId="987" priority="53" operator="lessThan">
      <formula>0.8</formula>
    </cfRule>
  </conditionalFormatting>
  <conditionalFormatting sqref="AG13:AG14 R13:R14 AG57 R57:R66 AG53:AG54 R53:R54 R70 AG5:AG9 R5:R9 AG17:AG51 R17:R51">
    <cfRule type="cellIs" dxfId="986" priority="57" operator="lessThan">
      <formula>0.8</formula>
    </cfRule>
  </conditionalFormatting>
  <conditionalFormatting sqref="AG41">
    <cfRule type="cellIs" dxfId="985" priority="59" operator="lessThan">
      <formula>0.8</formula>
    </cfRule>
  </conditionalFormatting>
  <conditionalFormatting sqref="AG18:AG23">
    <cfRule type="cellIs" dxfId="984" priority="56" operator="lessThan">
      <formula>0.8</formula>
    </cfRule>
  </conditionalFormatting>
  <conditionalFormatting sqref="AG25">
    <cfRule type="cellIs" dxfId="983" priority="58" operator="lessThan">
      <formula>0.8</formula>
    </cfRule>
  </conditionalFormatting>
  <conditionalFormatting sqref="AG33:AG39">
    <cfRule type="cellIs" dxfId="982" priority="54" operator="lessThan">
      <formula>0.8</formula>
    </cfRule>
  </conditionalFormatting>
  <conditionalFormatting sqref="AE60">
    <cfRule type="cellIs" dxfId="981" priority="50" operator="lessThan">
      <formula>0</formula>
    </cfRule>
  </conditionalFormatting>
  <conditionalFormatting sqref="AF60">
    <cfRule type="cellIs" dxfId="980" priority="48" operator="greaterThan">
      <formula>1</formula>
    </cfRule>
    <cfRule type="cellIs" dxfId="979" priority="49" operator="lessThan">
      <formula>0.8</formula>
    </cfRule>
  </conditionalFormatting>
  <conditionalFormatting sqref="O15:O16">
    <cfRule type="cellIs" dxfId="978" priority="43" operator="greaterThan">
      <formula>0</formula>
    </cfRule>
  </conditionalFormatting>
  <conditionalFormatting sqref="P15:P16">
    <cfRule type="cellIs" dxfId="977" priority="46" operator="lessThan">
      <formula>0</formula>
    </cfRule>
  </conditionalFormatting>
  <conditionalFormatting sqref="Q15:Q16">
    <cfRule type="cellIs" dxfId="976" priority="44" operator="greaterThan">
      <formula>1</formula>
    </cfRule>
    <cfRule type="cellIs" dxfId="975" priority="45" operator="lessThan">
      <formula>0.8</formula>
    </cfRule>
  </conditionalFormatting>
  <conditionalFormatting sqref="R15:R16 AG15:AG16">
    <cfRule type="cellIs" dxfId="974" priority="47" operator="lessThan">
      <formula>0.8</formula>
    </cfRule>
  </conditionalFormatting>
  <conditionalFormatting sqref="O10:O11">
    <cfRule type="cellIs" dxfId="973" priority="39" operator="greaterThan">
      <formula>0</formula>
    </cfRule>
  </conditionalFormatting>
  <conditionalFormatting sqref="P10:P11">
    <cfRule type="cellIs" dxfId="972" priority="42" operator="lessThan">
      <formula>0</formula>
    </cfRule>
  </conditionalFormatting>
  <conditionalFormatting sqref="Q10:Q11">
    <cfRule type="cellIs" dxfId="971" priority="40" operator="greaterThan">
      <formula>1</formula>
    </cfRule>
    <cfRule type="cellIs" dxfId="970" priority="41" operator="lessThan">
      <formula>0.8</formula>
    </cfRule>
  </conditionalFormatting>
  <conditionalFormatting sqref="O52">
    <cfRule type="cellIs" dxfId="969" priority="34" operator="greaterThan">
      <formula>0</formula>
    </cfRule>
  </conditionalFormatting>
  <conditionalFormatting sqref="P52">
    <cfRule type="cellIs" dxfId="968" priority="37" operator="lessThan">
      <formula>0</formula>
    </cfRule>
  </conditionalFormatting>
  <conditionalFormatting sqref="Q52">
    <cfRule type="cellIs" dxfId="967" priority="35" operator="greaterThan">
      <formula>1</formula>
    </cfRule>
    <cfRule type="cellIs" dxfId="966" priority="36" operator="lessThan">
      <formula>0.8</formula>
    </cfRule>
  </conditionalFormatting>
  <conditionalFormatting sqref="R52 AG52">
    <cfRule type="cellIs" dxfId="965" priority="38" operator="lessThan">
      <formula>0.8</formula>
    </cfRule>
  </conditionalFormatting>
  <conditionalFormatting sqref="O56">
    <cfRule type="cellIs" dxfId="964" priority="29" operator="greaterThan">
      <formula>0</formula>
    </cfRule>
  </conditionalFormatting>
  <conditionalFormatting sqref="P56 AE56">
    <cfRule type="cellIs" dxfId="963" priority="32" operator="lessThan">
      <formula>0</formula>
    </cfRule>
  </conditionalFormatting>
  <conditionalFormatting sqref="Q56 AF56">
    <cfRule type="cellIs" dxfId="962" priority="30" operator="greaterThan">
      <formula>1</formula>
    </cfRule>
    <cfRule type="cellIs" dxfId="961" priority="31" operator="lessThan">
      <formula>0.8</formula>
    </cfRule>
  </conditionalFormatting>
  <conditionalFormatting sqref="R56 AG56">
    <cfRule type="cellIs" dxfId="960" priority="33" operator="lessThan">
      <formula>0.8</formula>
    </cfRule>
  </conditionalFormatting>
  <conditionalFormatting sqref="O67">
    <cfRule type="cellIs" dxfId="959" priority="24" operator="greaterThan">
      <formula>0</formula>
    </cfRule>
  </conditionalFormatting>
  <conditionalFormatting sqref="P67">
    <cfRule type="cellIs" dxfId="958" priority="27" operator="lessThan">
      <formula>0</formula>
    </cfRule>
  </conditionalFormatting>
  <conditionalFormatting sqref="Q67">
    <cfRule type="cellIs" dxfId="957" priority="25" operator="greaterThan">
      <formula>1</formula>
    </cfRule>
    <cfRule type="cellIs" dxfId="956" priority="26" operator="lessThan">
      <formula>0.8</formula>
    </cfRule>
  </conditionalFormatting>
  <conditionalFormatting sqref="R67">
    <cfRule type="cellIs" dxfId="955" priority="28" operator="lessThan">
      <formula>0.8</formula>
    </cfRule>
  </conditionalFormatting>
  <conditionalFormatting sqref="O55">
    <cfRule type="cellIs" dxfId="954" priority="19" operator="greaterThan">
      <formula>0</formula>
    </cfRule>
  </conditionalFormatting>
  <conditionalFormatting sqref="P55 AE55">
    <cfRule type="cellIs" dxfId="953" priority="22" operator="lessThan">
      <formula>0</formula>
    </cfRule>
  </conditionalFormatting>
  <conditionalFormatting sqref="Q55 AF55">
    <cfRule type="cellIs" dxfId="952" priority="20" operator="greaterThan">
      <formula>1</formula>
    </cfRule>
    <cfRule type="cellIs" dxfId="951" priority="21" operator="lessThan">
      <formula>0.8</formula>
    </cfRule>
  </conditionalFormatting>
  <conditionalFormatting sqref="R55 AG55">
    <cfRule type="cellIs" dxfId="950" priority="23" operator="lessThan">
      <formula>0.8</formula>
    </cfRule>
  </conditionalFormatting>
  <conditionalFormatting sqref="P8">
    <cfRule type="cellIs" dxfId="949" priority="18" operator="lessThan">
      <formula>0</formula>
    </cfRule>
  </conditionalFormatting>
  <conditionalFormatting sqref="P17">
    <cfRule type="cellIs" dxfId="948" priority="17" operator="lessThan">
      <formula>0</formula>
    </cfRule>
  </conditionalFormatting>
  <conditionalFormatting sqref="P24">
    <cfRule type="cellIs" dxfId="947" priority="16" operator="lessThan">
      <formula>0</formula>
    </cfRule>
  </conditionalFormatting>
  <conditionalFormatting sqref="P32">
    <cfRule type="cellIs" dxfId="946" priority="15" operator="lessThan">
      <formula>0</formula>
    </cfRule>
  </conditionalFormatting>
  <conditionalFormatting sqref="P45">
    <cfRule type="cellIs" dxfId="945" priority="14" operator="lessThan">
      <formula>0</formula>
    </cfRule>
  </conditionalFormatting>
  <conditionalFormatting sqref="P53">
    <cfRule type="cellIs" dxfId="944" priority="13" operator="lessThan">
      <formula>0</formula>
    </cfRule>
  </conditionalFormatting>
  <conditionalFormatting sqref="P60">
    <cfRule type="cellIs" dxfId="943" priority="12" operator="lessThan">
      <formula>0</formula>
    </cfRule>
  </conditionalFormatting>
  <conditionalFormatting sqref="P70">
    <cfRule type="cellIs" dxfId="942" priority="11" operator="lessThan">
      <formula>0</formula>
    </cfRule>
  </conditionalFormatting>
  <conditionalFormatting sqref="O68">
    <cfRule type="cellIs" dxfId="941" priority="6" operator="greaterThan">
      <formula>0</formula>
    </cfRule>
  </conditionalFormatting>
  <conditionalFormatting sqref="P68">
    <cfRule type="cellIs" dxfId="940" priority="9" operator="lessThan">
      <formula>0</formula>
    </cfRule>
  </conditionalFormatting>
  <conditionalFormatting sqref="Q68">
    <cfRule type="cellIs" dxfId="939" priority="7" operator="greaterThan">
      <formula>1</formula>
    </cfRule>
    <cfRule type="cellIs" dxfId="938" priority="8" operator="lessThan">
      <formula>0.8</formula>
    </cfRule>
  </conditionalFormatting>
  <conditionalFormatting sqref="R68">
    <cfRule type="cellIs" dxfId="937" priority="10" operator="lessThan">
      <formula>0.8</formula>
    </cfRule>
  </conditionalFormatting>
  <conditionalFormatting sqref="O69">
    <cfRule type="cellIs" dxfId="936" priority="1" operator="greaterThan">
      <formula>0</formula>
    </cfRule>
  </conditionalFormatting>
  <conditionalFormatting sqref="P69">
    <cfRule type="cellIs" dxfId="935" priority="4" operator="lessThan">
      <formula>0</formula>
    </cfRule>
  </conditionalFormatting>
  <conditionalFormatting sqref="Q69">
    <cfRule type="cellIs" dxfId="934" priority="2" operator="greaterThan">
      <formula>1</formula>
    </cfRule>
    <cfRule type="cellIs" dxfId="933" priority="3" operator="lessThan">
      <formula>0.8</formula>
    </cfRule>
  </conditionalFormatting>
  <conditionalFormatting sqref="R69">
    <cfRule type="cellIs" dxfId="932" priority="5" operator="lessThan">
      <formula>0.8</formula>
    </cfRule>
  </conditionalFormatting>
  <dataValidations count="1">
    <dataValidation type="list" allowBlank="1" showInputMessage="1" showErrorMessage="1" sqref="AB8 AA5:AB7 AB58:AB59 AB10:AB54 AA8:AA59 AA60:AB7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K6" sqref="K6:K8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1632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1633</v>
      </c>
      <c r="C3" s="555" t="str">
        <f>TEXT('0516 4度C'!A2,"yyyy.mm.ddaaaa")</f>
        <v>2026.05.16星期六</v>
      </c>
      <c r="D3" s="556"/>
      <c r="E3" s="54" t="s">
        <v>1634</v>
      </c>
      <c r="F3" s="557">
        <f>'0516 4度C'!D1</f>
        <v>149947</v>
      </c>
      <c r="G3" s="558"/>
      <c r="H3" s="54" t="s">
        <v>1635</v>
      </c>
      <c r="I3" s="559">
        <f>'0516 4度C'!F1</f>
        <v>5154500.76</v>
      </c>
      <c r="J3" s="560"/>
      <c r="K3" s="55"/>
      <c r="L3" s="56"/>
      <c r="M3" s="57"/>
      <c r="N3" s="57"/>
    </row>
    <row r="4" spans="2:17" ht="28.5" customHeight="1">
      <c r="B4" s="561" t="s">
        <v>1636</v>
      </c>
      <c r="C4" s="547" t="s">
        <v>1637</v>
      </c>
      <c r="D4" s="548"/>
      <c r="E4" s="564" t="s">
        <v>1638</v>
      </c>
      <c r="F4" s="565"/>
      <c r="G4" s="564" t="s">
        <v>1639</v>
      </c>
      <c r="H4" s="565"/>
      <c r="I4" s="564" t="s">
        <v>1640</v>
      </c>
      <c r="J4" s="565"/>
      <c r="K4" s="545" t="s">
        <v>1641</v>
      </c>
      <c r="L4" s="546"/>
      <c r="M4" s="546" t="s">
        <v>1642</v>
      </c>
      <c r="N4" s="546"/>
    </row>
    <row r="5" spans="2:17" ht="28.5" customHeight="1">
      <c r="B5" s="562"/>
      <c r="C5" s="547" t="s">
        <v>1643</v>
      </c>
      <c r="D5" s="548"/>
      <c r="E5" s="547" t="s">
        <v>1644</v>
      </c>
      <c r="F5" s="548"/>
      <c r="G5" s="549" t="s">
        <v>1645</v>
      </c>
      <c r="H5" s="550"/>
      <c r="I5" s="551" t="s">
        <v>1646</v>
      </c>
      <c r="J5" s="552"/>
      <c r="K5" s="58" t="s">
        <v>1647</v>
      </c>
      <c r="L5" s="59" t="s">
        <v>1648</v>
      </c>
      <c r="M5" s="58" t="s">
        <v>1647</v>
      </c>
      <c r="N5" s="59" t="s">
        <v>1649</v>
      </c>
    </row>
    <row r="6" spans="2:17" ht="28.5" customHeight="1">
      <c r="B6" s="562"/>
      <c r="C6" s="547" t="s">
        <v>145</v>
      </c>
      <c r="D6" s="548"/>
      <c r="E6" s="539">
        <f>AVERAGE(D13:M13)</f>
        <v>150.49621721659369</v>
      </c>
      <c r="F6" s="540">
        <f>AVERAGE(D31:O31,D13:J13)</f>
        <v>156.05891343345442</v>
      </c>
      <c r="G6" s="541">
        <f>AVERAGE(D13:J13)</f>
        <v>156.05891343345442</v>
      </c>
      <c r="H6" s="542"/>
      <c r="I6" s="541">
        <f>AVERAGE(K13:M13)</f>
        <v>137.5165927105852</v>
      </c>
      <c r="J6" s="542"/>
      <c r="K6" s="543">
        <f>'0516 4度C'!Y2</f>
        <v>0</v>
      </c>
      <c r="L6" s="528">
        <f>'0516 4度C'!Z2</f>
        <v>0</v>
      </c>
      <c r="M6" s="544">
        <f>'0516 4度C'!AC2</f>
        <v>48</v>
      </c>
      <c r="N6" s="528">
        <f>'0516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144.39537793600607</v>
      </c>
      <c r="F7" s="532">
        <f>AVERAGE(D32:O32,D14:J14)</f>
        <v>149.9985120374217</v>
      </c>
      <c r="G7" s="533">
        <f>AVERAGE(D14:J14)</f>
        <v>149.9985120374217</v>
      </c>
      <c r="H7" s="534"/>
      <c r="I7" s="533">
        <f>AVERAGE(K14:M14)</f>
        <v>131.32139836603628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0.95830514634344133</v>
      </c>
      <c r="F8" s="536">
        <f>AVERAGE(D15:J15,D33:O33)</f>
        <v>0.9597531530445379</v>
      </c>
      <c r="G8" s="537">
        <f>AVERAGE(D15:J15)</f>
        <v>0.9597531530445379</v>
      </c>
      <c r="H8" s="538"/>
      <c r="I8" s="537">
        <f>AVERAGE(K15:M15)</f>
        <v>0.95492646404088299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1650</v>
      </c>
      <c r="N9" s="57"/>
      <c r="O9" s="57"/>
      <c r="P9" s="57"/>
      <c r="Q9" s="57"/>
    </row>
    <row r="10" spans="2:17" ht="30" customHeight="1">
      <c r="B10" s="511" t="s">
        <v>1651</v>
      </c>
      <c r="C10" s="512"/>
      <c r="D10" s="513" t="s">
        <v>1652</v>
      </c>
      <c r="E10" s="514"/>
      <c r="F10" s="514"/>
      <c r="G10" s="514"/>
      <c r="H10" s="514"/>
      <c r="I10" s="514"/>
      <c r="J10" s="515"/>
      <c r="K10" s="516" t="s">
        <v>1653</v>
      </c>
      <c r="L10" s="517"/>
      <c r="M10" s="518"/>
      <c r="P10" s="63"/>
      <c r="Q10" s="63"/>
    </row>
    <row r="11" spans="2:17" ht="17.25" customHeight="1">
      <c r="B11" s="519" t="s">
        <v>1654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1655</v>
      </c>
      <c r="C13" s="70" t="s">
        <v>1656</v>
      </c>
      <c r="D13" s="71">
        <f>SUMIFS('0516 4度C'!$K:$K,'0516 4度C'!$A:$A,"新豐6線",'0516 4度C'!$B:$B,"平均")</f>
        <v>125</v>
      </c>
      <c r="E13" s="72">
        <f>SUMIFS('0516 4度C'!$K:$K,'0516 4度C'!$A:$A,"新豐2線",'0516 4度C'!$B:$B,"平均")</f>
        <v>83.333333333333329</v>
      </c>
      <c r="F13" s="73">
        <f>SUMIFS('0516 4度C'!$K:$K,'0516 4度C'!$A:$A,"新豐5線",'0516 4度C'!$B:$B,"平均")</f>
        <v>87.719298245614041</v>
      </c>
      <c r="G13" s="73">
        <f>SUMIFS('0516 4度C'!$K:$K,'0516 4度C'!$A:$A,"新豐7線",'0516 4度C'!$B:$B,"平均")</f>
        <v>121.05263157894737</v>
      </c>
      <c r="H13" s="73">
        <f>SUMIFS('0516 4度C'!$K:$K,'0516 4度C'!$A:$A,"新豐3線",'0516 4度C'!$B:$B,"平均")</f>
        <v>255.81395348837211</v>
      </c>
      <c r="I13" s="73">
        <f>SUMIFS('0516 4度C'!$K:$K,'0516 4度C'!$A:$A,"新豐1線",'0516 4度C'!$B:$B,"平均")</f>
        <v>103.70370370370371</v>
      </c>
      <c r="J13" s="74">
        <f>SUMIFS('0516 4度C'!$K:$K,'0516 4度C'!$A:$A,"新豐10線",'0516 4度C'!$B:$B,"平均")</f>
        <v>315.78947368421052</v>
      </c>
      <c r="K13" s="75">
        <f>SUMIFS('0516 4度C'!$K:$K,'0516 4度C'!$A:$A,"新豐8線",'0516 4度C'!$B:$B,"平均")</f>
        <v>141.1764705882353</v>
      </c>
      <c r="L13" s="76">
        <f>SUMIFS('0516 4度C'!$K:$K,'0516 4度C'!$A:$A,"新豐9線",'0516 4度C'!$B:$B,"平均")</f>
        <v>118.18181818181817</v>
      </c>
      <c r="M13" s="74">
        <f>SUMIFS('0516 4度C'!$K:$K,'0516 4度C'!$A:$A,"新豐4線",'0516 4度C'!$B:$B,"平均")</f>
        <v>153.19148936170214</v>
      </c>
    </row>
    <row r="14" spans="2:17" ht="39.6" customHeight="1">
      <c r="B14" s="524"/>
      <c r="C14" s="77" t="s">
        <v>1657</v>
      </c>
      <c r="D14" s="78">
        <f>SUMIFS('0516 4度C'!$N:$N,'0516 4度C'!$A:$A,"新豐6線",'0516 4度C'!$B:$B,"平均")</f>
        <v>120.7835910005028</v>
      </c>
      <c r="E14" s="79">
        <f>SUMIFS('0516 4度C'!$N:$N,'0516 4度C'!$A:$A,"新豐2線",'0516 4度C'!$B:$B,"平均")</f>
        <v>79.482224444575166</v>
      </c>
      <c r="F14" s="79">
        <f>SUMIFS('0516 4度C'!$N:$N,'0516 4度C'!$A:$A,"新豐5線",'0516 4度C'!$B:$B,"平均")</f>
        <v>83.641750357997509</v>
      </c>
      <c r="G14" s="79">
        <f>SUMIFS('0516 4度C'!$N:$N,'0516 4度C'!$A:$A,"新豐7線",'0516 4度C'!$B:$B,"平均")</f>
        <v>116.08802360052603</v>
      </c>
      <c r="H14" s="79">
        <f>SUMIFS('0516 4度C'!$N:$N,'0516 4度C'!$A:$A,"新豐3線",'0516 4度C'!$B:$B,"平均")</f>
        <v>243.93630767599672</v>
      </c>
      <c r="I14" s="79">
        <f>SUMIFS('0516 4度C'!$N:$N,'0516 4度C'!$A:$A,"新豐1線",'0516 4度C'!$B:$B,"平均")</f>
        <v>99.795417034499806</v>
      </c>
      <c r="J14" s="80">
        <f>SUMIFS('0516 4度C'!$N:$N,'0516 4度C'!$A:$A,"新豐10線",'0516 4度C'!$B:$B,"平均")</f>
        <v>306.26227014785383</v>
      </c>
      <c r="K14" s="81">
        <f>SUMIFS('0516 4度C'!$N:$N,'0516 4度C'!$A:$A,"新豐8線",'0516 4度C'!$B:$B,"平均")</f>
        <v>134.63461560463242</v>
      </c>
      <c r="L14" s="82">
        <f>SUMIFS('0516 4度C'!$N:$N,'0516 4度C'!$A:$A,"新豐9線",'0516 4度C'!$B:$B,"平均")</f>
        <v>112.87418721709693</v>
      </c>
      <c r="M14" s="80">
        <f>SUMIFS('0516 4度C'!$N:$N,'0516 4度C'!$A:$A,"新豐4線",'0516 4度C'!$B:$B,"平均")</f>
        <v>146.45539227637948</v>
      </c>
    </row>
    <row r="15" spans="2:17" ht="40.15" customHeight="1">
      <c r="B15" s="525"/>
      <c r="C15" s="83" t="s">
        <v>1658</v>
      </c>
      <c r="D15" s="84">
        <f t="shared" ref="D15:M15" si="0">D14/D13</f>
        <v>0.96626872800402241</v>
      </c>
      <c r="E15" s="85">
        <f t="shared" si="0"/>
        <v>0.95378669333490207</v>
      </c>
      <c r="F15" s="85">
        <f t="shared" si="0"/>
        <v>0.95351595408117151</v>
      </c>
      <c r="G15" s="85">
        <f t="shared" si="0"/>
        <v>0.95898802104782366</v>
      </c>
      <c r="H15" s="85">
        <f t="shared" si="0"/>
        <v>0.9535692027334417</v>
      </c>
      <c r="I15" s="85">
        <f t="shared" si="0"/>
        <v>0.96231294997553374</v>
      </c>
      <c r="J15" s="86">
        <f t="shared" si="0"/>
        <v>0.96983052213487042</v>
      </c>
      <c r="K15" s="84">
        <f t="shared" si="0"/>
        <v>0.95366186053281288</v>
      </c>
      <c r="L15" s="85">
        <f t="shared" si="0"/>
        <v>0.95508927645235875</v>
      </c>
      <c r="M15" s="86">
        <f t="shared" si="0"/>
        <v>0.95602825513747713</v>
      </c>
    </row>
    <row r="16" spans="2:17" ht="17.25" customHeight="1">
      <c r="B16" s="526" t="s">
        <v>1659</v>
      </c>
      <c r="C16" s="87" t="s">
        <v>1660</v>
      </c>
      <c r="D16" s="88">
        <f>VLOOKUP("新豐6線",'0516 4度C'!$A:$T,19,0)</f>
        <v>0.70833333333333337</v>
      </c>
      <c r="E16" s="89">
        <f>VLOOKUP("新豐2線",'0516 4度C'!$A:$T,19,0)</f>
        <v>0.20833333333333334</v>
      </c>
      <c r="F16" s="89">
        <f>VLOOKUP("新豐5線",'0516 4度C'!$A:$T,19,0)</f>
        <v>0.20833333333333334</v>
      </c>
      <c r="G16" s="89">
        <f>VLOOKUP("新豐7線",'0516 4度C'!$A:$T,19,0)</f>
        <v>0.20833333333333334</v>
      </c>
      <c r="H16" s="89">
        <f>VLOOKUP("新豐3線",'0516 4度C'!$A:$T,19,0)</f>
        <v>8.3333333333333329E-2</v>
      </c>
      <c r="I16" s="89">
        <f>VLOOKUP("新豐1線",'0516 4度C'!$A:$T,19,0)</f>
        <v>0.20833333333333334</v>
      </c>
      <c r="J16" s="90">
        <f>VLOOKUP("新豐10線",'0516 4度C'!$A:$T,19,0)</f>
        <v>0.20833333333333334</v>
      </c>
      <c r="K16" s="91">
        <f>VLOOKUP("新豐8線",'0516 4度C'!$A:$T,19,0)</f>
        <v>8.3333333333333329E-2</v>
      </c>
      <c r="L16" s="92">
        <f>VLOOKUP("新豐9線",'0516 4度C'!$A:$T,19,0)</f>
        <v>8.3333333333333329E-2</v>
      </c>
      <c r="M16" s="93">
        <f>VLOOKUP("新豐4線",'0516 4度C'!$A:$T,19,0)</f>
        <v>8.3333333333333329E-2</v>
      </c>
    </row>
    <row r="17" spans="2:13" ht="17.25" customHeight="1">
      <c r="B17" s="527"/>
      <c r="C17" s="87" t="s">
        <v>1661</v>
      </c>
      <c r="D17" s="91">
        <f>LOOKUP(2,1/(('0516 4度C'!$A:$A="新豐6線")*('0516 4度C'!$T:$T&lt;&gt;"")),'0516 4度C'!$T:$T)</f>
        <v>0.82152777777777775</v>
      </c>
      <c r="E17" s="89">
        <f>LOOKUP(2,1/(('0516 4度C'!$A:$A="新豐2線")*('0516 4度C'!$T:$T&lt;&gt;"")),'0516 4度C'!$T:$T)</f>
        <v>0.53194444444444444</v>
      </c>
      <c r="F17" s="89">
        <f>LOOKUP(2,1/(('0516 4度C'!$A:$A="新豐5線")*('0516 4度C'!$T:$T&lt;&gt;"")),'0516 4度C'!$T:$T)</f>
        <v>0.7993055555555556</v>
      </c>
      <c r="G17" s="89">
        <f>LOOKUP(2,1/(('0516 4度C'!$A:$A="新豐7線")*('0516 4度C'!$T:$T&lt;&gt;"")),'0516 4度C'!$T:$T)</f>
        <v>0.81597222222222232</v>
      </c>
      <c r="H17" s="89">
        <f>LOOKUP(2,1/(('0516 4度C'!$A:$A="新豐3線")*('0516 4度C'!$T:$T&lt;&gt;"")),'0516 4度C'!$T:$T)</f>
        <v>0.37638888888888888</v>
      </c>
      <c r="I17" s="89">
        <f>LOOKUP(2,1/(('0516 4度C'!$A:$A="新豐1線")*('0516 4度C'!$T:$T&lt;&gt;"")),'0516 4度C'!$T:$T)</f>
        <v>0.78125</v>
      </c>
      <c r="J17" s="90">
        <f>LOOKUP(2,1/(('0516 4度C'!$A:$A="新豐10線")*('0516 4度C'!$T:$T&lt;&gt;"")),'0516 4度C'!$T:$T)</f>
        <v>0.40208333333333324</v>
      </c>
      <c r="K17" s="88">
        <f>LOOKUP(2,1/(('0516 4度C'!$A:$A="新豐8線")*('0516 4度C'!$T:$T&lt;&gt;"")),'0516 4度C'!$T:$T)</f>
        <v>0.64236111111111105</v>
      </c>
      <c r="L17" s="89">
        <f>LOOKUP(2,1/(('0516 4度C'!$A:$A="新豐9線")*('0516 4度C'!$T:$T&lt;&gt;"")),'0516 4度C'!$T:$T)</f>
        <v>0.58958333333333335</v>
      </c>
      <c r="M17" s="90">
        <f>LOOKUP(2,1/(('0516 4度C'!$A:$A="新豐4線")*('0516 4度C'!$T:$T&lt;&gt;"")),'0516 4度C'!$T:$T)</f>
        <v>0.58263888888888882</v>
      </c>
    </row>
    <row r="18" spans="2:13" ht="17.25" customHeight="1">
      <c r="B18" s="505" t="s">
        <v>1662</v>
      </c>
      <c r="C18" s="94" t="s">
        <v>1663</v>
      </c>
      <c r="D18" s="95">
        <f>SUMIFS('0516 4度C'!$Y:$Y,'0516 4度C'!$A:$A,"新豐6線",'0516 4度C'!$B:$B,"平均")</f>
        <v>0</v>
      </c>
      <c r="E18" s="96">
        <f>SUMIFS('0516 4度C'!$Y:$Y,'0516 4度C'!$A:$A,"新豐2線",'0516 4度C'!$B:$B,"平均")</f>
        <v>0</v>
      </c>
      <c r="F18" s="96">
        <f>SUMIFS('0516 4度C'!$Y:$Y,'0516 4度C'!$A:$A,"新豐5線",'0516 4度C'!$B:$B,"平均")</f>
        <v>0</v>
      </c>
      <c r="G18" s="96">
        <f>SUMIFS('0516 4度C'!$Y:$Y,'0516 4度C'!$A:$A,"新豐7線",'0516 4度C'!$B:$B,"平均")</f>
        <v>0</v>
      </c>
      <c r="H18" s="96">
        <f>SUMIFS('0516 4度C'!$Y:$Y,'0516 4度C'!$A:$A,"新豐3線",'0516 4度C'!$B:$B,"平均")</f>
        <v>0</v>
      </c>
      <c r="I18" s="96">
        <f>SUMIFS('0516 4度C'!$Y:$Y,'0516 4度C'!$A:$A,"新豐1線",'0516 4度C'!$B:$B,"平均")</f>
        <v>0</v>
      </c>
      <c r="J18" s="97">
        <f>SUMIFS('0516 4度C'!$Y:$Y,'0516 4度C'!$A:$A,"新豐10線",'0516 4度C'!$B:$B,"平均")</f>
        <v>0</v>
      </c>
      <c r="K18" s="98">
        <f>SUMIFS('0516 4度C'!$Y:$Y,'0516 4度C'!$A:$A,"新豐8線",'0516 4度C'!$B:$B,"平均")</f>
        <v>0</v>
      </c>
      <c r="L18" s="96">
        <f>SUMIFS('0516 4度C'!$Y:$Y,'0516 4度C'!$A:$A,"新豐9線",'0516 4度C'!$B:$B,"平均")</f>
        <v>0</v>
      </c>
      <c r="M18" s="97">
        <f>SUMIFS('0516 4度C'!$Y:$Y,'0516 4度C'!$A:$A,"新豐4線",'0516 4度C'!$B:$B,"平均")</f>
        <v>0</v>
      </c>
    </row>
    <row r="19" spans="2:13" ht="17.25" customHeight="1">
      <c r="B19" s="506"/>
      <c r="C19" s="94" t="s">
        <v>1664</v>
      </c>
      <c r="D19" s="95">
        <f>SUMIFS('0516 4度C'!$Z:$Z,'0516 4度C'!$A:$A,"新豐6線",'0516 4度C'!$B:$B,"平均")</f>
        <v>0</v>
      </c>
      <c r="E19" s="96">
        <f>SUMIFS('0516 4度C'!$Z:$Z,'0516 4度C'!$A:$A,"新豐2線",'0516 4度C'!$B:$B,"平均")</f>
        <v>0</v>
      </c>
      <c r="F19" s="96">
        <f>SUMIFS('0516 4度C'!$Z:$Z,'0516 4度C'!$A:$A,"新豐5線",'0516 4度C'!$B:$B,"平均")</f>
        <v>0</v>
      </c>
      <c r="G19" s="96">
        <f>SUMIFS('0516 4度C'!$Z:$Z,'0516 4度C'!$A:$A,"新豐7線",'0516 4度C'!$B:$B,"平均")</f>
        <v>0</v>
      </c>
      <c r="H19" s="96">
        <f>SUMIFS('0516 4度C'!$Z:$Z,'0516 4度C'!$A:$A,"新豐3線",'0516 4度C'!$B:$B,"平均")</f>
        <v>0</v>
      </c>
      <c r="I19" s="96">
        <f>SUMIFS('0516 4度C'!$Z:$Z,'0516 4度C'!$A:$A,"新豐1線",'0516 4度C'!$B:$B,"平均")</f>
        <v>0</v>
      </c>
      <c r="J19" s="97">
        <f>SUMIFS('0516 4度C'!$Z:$Z,'0516 4度C'!$A:$A,"新豐10線",'0516 4度C'!$B:$B,"平均")</f>
        <v>0</v>
      </c>
      <c r="K19" s="98">
        <f>SUMIFS('0516 4度C'!$Z:$Z,'0516 4度C'!$A:$A,"新豐8線",'0516 4度C'!$B:$B,"平均")</f>
        <v>0</v>
      </c>
      <c r="L19" s="96">
        <f>SUMIFS('0516 4度C'!$Z:$Z,'0516 4度C'!$A:$A,"新豐9線",'0516 4度C'!$B:$B,"平均")</f>
        <v>0</v>
      </c>
      <c r="M19" s="97">
        <f>SUMIFS('0516 4度C'!$Z:$Z,'0516 4度C'!$A:$A,"新豐4線",'0516 4度C'!$B:$B,"平均")</f>
        <v>0</v>
      </c>
    </row>
    <row r="20" spans="2:13" ht="17.25" customHeight="1">
      <c r="B20" s="505" t="s">
        <v>1665</v>
      </c>
      <c r="C20" s="94" t="s">
        <v>1663</v>
      </c>
      <c r="D20" s="95">
        <f>SUMIFS('0516 4度C'!$AC:$AC,'0516 4度C'!$A:$A,"新豐6線",'0516 4度C'!$B:$B,"平均")</f>
        <v>3</v>
      </c>
      <c r="E20" s="96">
        <f>SUMIFS('0516 4度C'!$AC:$AC,'0516 4度C'!$A:$A,"新豐2線",'0516 4度C'!$B:$B,"平均")</f>
        <v>2</v>
      </c>
      <c r="F20" s="96">
        <f>SUMIFS('0516 4度C'!$AC:$AC,'0516 4度C'!$A:$A,"新豐5線",'0516 4度C'!$B:$B,"平均")</f>
        <v>3</v>
      </c>
      <c r="G20" s="96">
        <f>SUMIFS('0516 4度C'!$AC:$AC,'0516 4度C'!$A:$A,"新豐7線",'0516 4度C'!$B:$B,"平均")</f>
        <v>6</v>
      </c>
      <c r="H20" s="96">
        <f>SUMIFS('0516 4度C'!$AC:$AC,'0516 4度C'!$A:$A,"新豐3線",'0516 4度C'!$B:$B,"平均")</f>
        <v>4</v>
      </c>
      <c r="I20" s="96">
        <f>SUMIFS('0516 4度C'!$AC:$AC,'0516 4度C'!$A:$A,"新豐1線",'0516 4度C'!$B:$B,"平均")</f>
        <v>7</v>
      </c>
      <c r="J20" s="97">
        <f>SUMIFS('0516 4度C'!$AC:$AC,'0516 4度C'!$A:$A,"新豐10線",'0516 4度C'!$B:$B,"平均")</f>
        <v>6</v>
      </c>
      <c r="K20" s="98">
        <f>SUMIFS('0516 4度C'!$AC:$AC,'0516 4度C'!$A:$A,"新豐8線",'0516 4度C'!$B:$B,"平均")</f>
        <v>6</v>
      </c>
      <c r="L20" s="96">
        <f>SUMIFS('0516 4度C'!$AC:$AC,'0516 4度C'!$A:$A,"新豐9線",'0516 4度C'!$B:$B,"平均")</f>
        <v>5</v>
      </c>
      <c r="M20" s="97">
        <f>SUMIFS('0516 4度C'!$AC:$AC,'0516 4度C'!$A:$A,"新豐4線",'0516 4度C'!$B:$B,"平均")</f>
        <v>6</v>
      </c>
    </row>
    <row r="21" spans="2:13" ht="17.25" customHeight="1">
      <c r="B21" s="506"/>
      <c r="C21" s="94" t="s">
        <v>1666</v>
      </c>
      <c r="D21" s="95">
        <f>SUMIFS('0516 4度C'!$AD:$AD,'0516 4度C'!$A:$A,"新豐6線",'0516 4度C'!$B:$B,"平均")</f>
        <v>0</v>
      </c>
      <c r="E21" s="96">
        <f>SUMIFS('0516 4度C'!$AD:$AD,'0516 4度C'!$A:$A,"新豐2線",'0516 4度C'!$B:$B,"平均")</f>
        <v>0</v>
      </c>
      <c r="F21" s="96">
        <f>SUMIFS('0516 4度C'!$AD:$AD,'0516 4度C'!$A:$A,"新豐5線",'0516 4度C'!$B:$B,"平均")</f>
        <v>0</v>
      </c>
      <c r="G21" s="96">
        <f>SUMIFS('0516 4度C'!$AD:$AD,'0516 4度C'!$A:$A,"新豐7線",'0516 4度C'!$B:$B,"平均")</f>
        <v>0</v>
      </c>
      <c r="H21" s="96">
        <f>SUMIFS('0516 4度C'!$AD:$AD,'0516 4度C'!$A:$A,"新豐3線",'0516 4度C'!$B:$B,"平均")</f>
        <v>0</v>
      </c>
      <c r="I21" s="96">
        <f>SUMIFS('0516 4度C'!$AD:$AD,'0516 4度C'!$A:$A,"新豐1線",'0516 4度C'!$B:$B,"平均")</f>
        <v>0</v>
      </c>
      <c r="J21" s="97">
        <f>SUMIFS('0516 4度C'!$AD:$AD,'0516 4度C'!$A:$A,"新豐10線",'0516 4度C'!$B:$B,"平均")</f>
        <v>0</v>
      </c>
      <c r="K21" s="98">
        <f>SUMIFS('0516 4度C'!$AD:$AD,'0516 4度C'!$A:$A,"新豐8線",'0516 4度C'!$B:$B,"平均")</f>
        <v>0</v>
      </c>
      <c r="L21" s="96">
        <f>SUMIFS('0516 4度C'!$AD:$AD,'0516 4度C'!$A:$A,"新豐9線",'0516 4度C'!$B:$B,"平均")</f>
        <v>0</v>
      </c>
      <c r="M21" s="97">
        <f>SUMIFS('0516 4度C'!$AD:$AD,'0516 4度C'!$A:$A,"新豐4線",'0516 4度C'!$B:$B,"平均")</f>
        <v>0</v>
      </c>
    </row>
    <row r="22" spans="2:13" ht="17.25" customHeight="1">
      <c r="B22" s="507" t="s">
        <v>1667</v>
      </c>
      <c r="C22" s="508"/>
      <c r="D22" s="99">
        <f>SUMIFS('0516 4度C'!$I:$I,'0516 4度C'!$A:$A,"新豐6線",'0516 4度C'!$B:$B,"平均")</f>
        <v>16</v>
      </c>
      <c r="E22" s="100">
        <f>SUMIFS('0516 4度C'!$I:$I,'0516 4度C'!$A:$A,"新豐2線",'0516 4度C'!$B:$B,"平均")</f>
        <v>18</v>
      </c>
      <c r="F22" s="100">
        <f>SUMIFS('0516 4度C'!$I:$I,'0516 4度C'!$A:$A,"新豐5線",'0516 4度C'!$B:$B,"平均")</f>
        <v>19</v>
      </c>
      <c r="G22" s="100">
        <f>SUMIFS('0516 4度C'!$I:$I,'0516 4度C'!$A:$A,"新豐7線",'0516 4度C'!$B:$B,"平均")</f>
        <v>15.833333333333334</v>
      </c>
      <c r="H22" s="100">
        <f>SUMIFS('0516 4度C'!$I:$I,'0516 4度C'!$A:$A,"新豐3線",'0516 4度C'!$B:$B,"平均")</f>
        <v>10.75</v>
      </c>
      <c r="I22" s="100">
        <f>SUMIFS('0516 4度C'!$I:$I,'0516 4度C'!$A:$A,"新豐1線",'0516 4度C'!$B:$B,"平均")</f>
        <v>19.285714285714285</v>
      </c>
      <c r="J22" s="101">
        <f>SUMIFS('0516 4度C'!$I:$I,'0516 4度C'!$A:$A,"新豐10線",'0516 4度C'!$B:$B,"平均")</f>
        <v>9.5</v>
      </c>
      <c r="K22" s="99">
        <f>SUMIFS('0516 4度C'!$I:$I,'0516 4度C'!$A:$A,"新豐8線",'0516 4度C'!$B:$B,"平均")</f>
        <v>17</v>
      </c>
      <c r="L22" s="100">
        <f>SUMIFS('0516 4度C'!$I:$I,'0516 4度C'!$A:$A,"新豐9線",'0516 4度C'!$B:$B,"平均")</f>
        <v>17.600000000000001</v>
      </c>
      <c r="M22" s="101">
        <f>SUMIFS('0516 4度C'!$I:$I,'0516 4度C'!$A:$A,"新豐4線",'0516 4度C'!$B:$B,"平均")</f>
        <v>15.666666666666666</v>
      </c>
    </row>
    <row r="23" spans="2:13" ht="17.25" customHeight="1">
      <c r="B23" s="507" t="s">
        <v>1668</v>
      </c>
      <c r="C23" s="508"/>
      <c r="D23" s="102" t="s">
        <v>177</v>
      </c>
      <c r="E23" s="103" t="s">
        <v>178</v>
      </c>
      <c r="F23" s="103" t="s">
        <v>1669</v>
      </c>
      <c r="G23" s="103" t="s">
        <v>1669</v>
      </c>
      <c r="H23" s="103" t="s">
        <v>180</v>
      </c>
      <c r="I23" s="103" t="s">
        <v>177</v>
      </c>
      <c r="J23" s="104" t="s">
        <v>180</v>
      </c>
      <c r="K23" s="102" t="s">
        <v>1670</v>
      </c>
      <c r="L23" s="103" t="s">
        <v>1670</v>
      </c>
      <c r="M23" s="104" t="s">
        <v>1670</v>
      </c>
    </row>
    <row r="24" spans="2:13" ht="17.25" customHeight="1">
      <c r="B24" s="507" t="s">
        <v>1671</v>
      </c>
      <c r="C24" s="508"/>
      <c r="D24" s="102"/>
      <c r="E24" s="103"/>
      <c r="F24" s="103" t="s">
        <v>1672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1673</v>
      </c>
      <c r="C25" s="510"/>
      <c r="D25" s="105"/>
      <c r="E25" s="106" t="s">
        <v>1674</v>
      </c>
      <c r="F25" s="503" t="s">
        <v>1675</v>
      </c>
      <c r="G25" s="504"/>
      <c r="H25" s="106" t="s">
        <v>1676</v>
      </c>
      <c r="I25" s="106" t="s">
        <v>1677</v>
      </c>
      <c r="J25" s="107" t="s">
        <v>233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3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3"/>
  <sheetViews>
    <sheetView zoomScale="80" zoomScaleNormal="80" workbookViewId="0">
      <pane ySplit="4" topLeftCell="A5" activePane="bottomLeft" state="frozen"/>
      <selection activeCell="K6" sqref="K6:K8"/>
      <selection pane="bottomLeft" activeCell="E16" sqref="E1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SUM(F5:F62)</f>
        <v>149947</v>
      </c>
      <c r="E1" s="292" t="s">
        <v>341</v>
      </c>
      <c r="F1" s="1">
        <f>SUM(G5:G62)</f>
        <v>5154500.76</v>
      </c>
      <c r="G1" s="1" t="s">
        <v>1678</v>
      </c>
      <c r="H1" s="5">
        <f>L8+L11+L40+L48+L15+L55+L29+L35+L22+L62</f>
        <v>158.63571428571427</v>
      </c>
      <c r="I1" s="617" t="s">
        <v>1679</v>
      </c>
      <c r="J1" s="617"/>
      <c r="K1" s="617"/>
      <c r="L1" s="617" t="s">
        <v>1680</v>
      </c>
      <c r="M1" s="617"/>
      <c r="N1" s="617"/>
      <c r="O1" s="617" t="s">
        <v>1681</v>
      </c>
      <c r="P1" s="617"/>
      <c r="Q1" s="617"/>
      <c r="R1" s="617"/>
      <c r="S1" s="617" t="s">
        <v>1682</v>
      </c>
      <c r="T1" s="617"/>
      <c r="U1" s="617"/>
      <c r="V1" s="617"/>
      <c r="W1" s="617"/>
      <c r="X1" s="617"/>
      <c r="Y1" s="6" t="s">
        <v>1683</v>
      </c>
      <c r="Z1" s="7" t="s">
        <v>1684</v>
      </c>
      <c r="AA1" s="618" t="s">
        <v>1685</v>
      </c>
      <c r="AB1" s="618"/>
      <c r="AC1" s="121" t="s">
        <v>1683</v>
      </c>
      <c r="AD1" s="7" t="s">
        <v>1686</v>
      </c>
      <c r="AE1" s="617" t="s">
        <v>1687</v>
      </c>
      <c r="AF1" s="619"/>
      <c r="AG1" s="619"/>
    </row>
    <row r="2" spans="1:33" ht="26.25" customHeight="1">
      <c r="A2" s="37">
        <v>46158</v>
      </c>
      <c r="B2" s="38" t="s">
        <v>249</v>
      </c>
      <c r="C2" s="2" t="s">
        <v>1655</v>
      </c>
      <c r="D2" s="10">
        <f>AVERAGE(N8,N11,N40,N48,N15,N55,N22,N29,N35,N62)</f>
        <v>144.39537793600607</v>
      </c>
      <c r="E2" s="11" t="s">
        <v>14</v>
      </c>
      <c r="F2" s="12">
        <f>F1/D1</f>
        <v>34.375484404489583</v>
      </c>
      <c r="G2" s="1" t="s">
        <v>1688</v>
      </c>
      <c r="H2" s="298">
        <f>COUNT(H5:H62)</f>
        <v>3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SUM(Y8+Y11+Y15+Y22+Y29+Y35+Y40+Y48+Y55+Y62)</f>
        <v>0</v>
      </c>
      <c r="Z2" s="14">
        <f>SUM(Z8+Z11+Z15+Z22+Z29+Z35+Z40+Z48+Z55+Z62)</f>
        <v>0</v>
      </c>
      <c r="AA2" s="618"/>
      <c r="AB2" s="618"/>
      <c r="AC2" s="122">
        <v>48</v>
      </c>
      <c r="AD2" s="14">
        <f>SUM(AD8+AD11+AD15+AD22+AD29+AD35+AD40+AD48+AD55+AD62)</f>
        <v>0</v>
      </c>
      <c r="AE2" s="619"/>
      <c r="AF2" s="619"/>
      <c r="AG2" s="619"/>
    </row>
    <row r="3" spans="1:33" ht="40.5" customHeight="1">
      <c r="A3" s="575" t="s">
        <v>1689</v>
      </c>
      <c r="B3" s="575" t="s">
        <v>1690</v>
      </c>
      <c r="C3" s="575" t="s">
        <v>1691</v>
      </c>
      <c r="D3" s="575"/>
      <c r="E3" s="615" t="s">
        <v>1692</v>
      </c>
      <c r="F3" s="575" t="s">
        <v>1693</v>
      </c>
      <c r="G3" s="615" t="s">
        <v>1694</v>
      </c>
      <c r="H3" s="608" t="s">
        <v>1695</v>
      </c>
      <c r="I3" s="606" t="s">
        <v>1696</v>
      </c>
      <c r="J3" s="603" t="s">
        <v>1697</v>
      </c>
      <c r="K3" s="613" t="s">
        <v>1698</v>
      </c>
      <c r="L3" s="606" t="s">
        <v>1699</v>
      </c>
      <c r="M3" s="603" t="s">
        <v>1700</v>
      </c>
      <c r="N3" s="613" t="s">
        <v>1701</v>
      </c>
      <c r="O3" s="606" t="s">
        <v>1696</v>
      </c>
      <c r="P3" s="613" t="s">
        <v>1698</v>
      </c>
      <c r="Q3" s="604" t="s">
        <v>1702</v>
      </c>
      <c r="R3" s="582" t="s">
        <v>1703</v>
      </c>
      <c r="S3" s="614" t="s">
        <v>28</v>
      </c>
      <c r="T3" s="614"/>
      <c r="U3" s="608" t="s">
        <v>29</v>
      </c>
      <c r="V3" s="608" t="s">
        <v>1704</v>
      </c>
      <c r="W3" s="575" t="s">
        <v>1705</v>
      </c>
      <c r="X3" s="575"/>
      <c r="Y3" s="609" t="s">
        <v>1706</v>
      </c>
      <c r="Z3" s="572"/>
      <c r="AA3" s="610" t="s">
        <v>1707</v>
      </c>
      <c r="AB3" s="611"/>
      <c r="AC3" s="609" t="s">
        <v>1708</v>
      </c>
      <c r="AD3" s="572"/>
      <c r="AE3" s="603" t="s">
        <v>1709</v>
      </c>
      <c r="AF3" s="604" t="s">
        <v>1710</v>
      </c>
      <c r="AG3" s="582" t="s">
        <v>1711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297" t="s">
        <v>36</v>
      </c>
      <c r="T4" s="297" t="s">
        <v>37</v>
      </c>
      <c r="U4" s="608"/>
      <c r="V4" s="608"/>
      <c r="W4" s="292" t="s">
        <v>1712</v>
      </c>
      <c r="X4" s="292" t="s">
        <v>1713</v>
      </c>
      <c r="Y4" s="291" t="s">
        <v>1714</v>
      </c>
      <c r="Z4" s="291" t="s">
        <v>1715</v>
      </c>
      <c r="AA4" s="612"/>
      <c r="AB4" s="611"/>
      <c r="AC4" s="291" t="s">
        <v>1716</v>
      </c>
      <c r="AD4" s="291" t="s">
        <v>1717</v>
      </c>
      <c r="AE4" s="603"/>
      <c r="AF4" s="604"/>
      <c r="AG4" s="582"/>
    </row>
    <row r="5" spans="1:33">
      <c r="A5" s="605" t="s">
        <v>1718</v>
      </c>
      <c r="B5" s="39" t="s">
        <v>74</v>
      </c>
      <c r="C5" s="607" t="s">
        <v>75</v>
      </c>
      <c r="D5" s="607"/>
      <c r="E5" s="39">
        <v>50.67</v>
      </c>
      <c r="F5" s="297">
        <v>1448</v>
      </c>
      <c r="G5" s="292">
        <f t="shared" ref="G5:G7" si="0">E5*F5</f>
        <v>73370.16</v>
      </c>
      <c r="H5" s="48" t="s">
        <v>126</v>
      </c>
      <c r="I5" s="295">
        <v>17</v>
      </c>
      <c r="J5" s="43">
        <v>2000</v>
      </c>
      <c r="K5" s="18">
        <f t="shared" ref="K5:K62" si="1">J5/I5</f>
        <v>117.64705882352941</v>
      </c>
      <c r="L5" s="295">
        <v>17</v>
      </c>
      <c r="M5" s="19">
        <f t="shared" ref="M5:M7" si="2">F5/V5*60</f>
        <v>1930.6666666666665</v>
      </c>
      <c r="N5" s="18">
        <f t="shared" ref="N5:N62" si="3">M5/L5</f>
        <v>113.56862745098039</v>
      </c>
      <c r="O5" s="20">
        <f t="shared" ref="O5:O62" si="4">L5-I5</f>
        <v>0</v>
      </c>
      <c r="P5" s="21">
        <f t="shared" ref="P5:P62" si="5">N5-K5</f>
        <v>-4.0784313725490193</v>
      </c>
      <c r="Q5" s="293">
        <f t="shared" ref="Q5:Q62" si="6">N5/K5</f>
        <v>0.96533333333333338</v>
      </c>
      <c r="R5" s="573">
        <f>Q8</f>
        <v>0.96626872800402241</v>
      </c>
      <c r="S5" s="49">
        <v>0.70833333333333337</v>
      </c>
      <c r="T5" s="49">
        <v>0.73958333333333337</v>
      </c>
      <c r="U5" s="292"/>
      <c r="V5" s="296">
        <f t="shared" ref="V5:V7" si="7">(T5-S5)*24*60</f>
        <v>45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47" si="8">M5-J5</f>
        <v>-69.333333333333485</v>
      </c>
      <c r="AF5" s="293">
        <f t="shared" ref="AF5:AF62" si="9">M5/J5</f>
        <v>0.96533333333333327</v>
      </c>
      <c r="AG5" s="573">
        <f>AF8</f>
        <v>0.96626872800402241</v>
      </c>
    </row>
    <row r="6" spans="1:33">
      <c r="A6" s="606" t="s">
        <v>44</v>
      </c>
      <c r="B6" s="39" t="s">
        <v>74</v>
      </c>
      <c r="C6" s="607" t="s">
        <v>77</v>
      </c>
      <c r="D6" s="607"/>
      <c r="E6" s="39">
        <v>50.67</v>
      </c>
      <c r="F6" s="297">
        <v>1650</v>
      </c>
      <c r="G6" s="292">
        <f t="shared" si="0"/>
        <v>83605.5</v>
      </c>
      <c r="H6" s="48" t="s">
        <v>126</v>
      </c>
      <c r="I6" s="295">
        <v>15</v>
      </c>
      <c r="J6" s="43">
        <v>2000</v>
      </c>
      <c r="K6" s="18">
        <f t="shared" si="1"/>
        <v>133.33333333333334</v>
      </c>
      <c r="L6" s="295">
        <v>15</v>
      </c>
      <c r="M6" s="19">
        <f t="shared" si="2"/>
        <v>1941.176470588236</v>
      </c>
      <c r="N6" s="18">
        <f t="shared" si="3"/>
        <v>129.4117647058824</v>
      </c>
      <c r="O6" s="20">
        <f t="shared" si="4"/>
        <v>0</v>
      </c>
      <c r="P6" s="21">
        <f t="shared" si="5"/>
        <v>-3.921568627450938</v>
      </c>
      <c r="Q6" s="293">
        <f t="shared" si="6"/>
        <v>0.97058823529411797</v>
      </c>
      <c r="R6" s="573"/>
      <c r="S6" s="49">
        <v>0.74444444444444446</v>
      </c>
      <c r="T6" s="49">
        <v>0.77986111111111112</v>
      </c>
      <c r="U6" s="292">
        <f t="shared" ref="U6:U7" si="10">IF(S6=TIME(17,0,0),"",(S6-T5)*24*60)</f>
        <v>6.9999999999999751</v>
      </c>
      <c r="V6" s="296">
        <f t="shared" si="7"/>
        <v>50.999999999999979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-58.823529411763957</v>
      </c>
      <c r="AF6" s="293">
        <f t="shared" si="9"/>
        <v>0.97058823529411797</v>
      </c>
      <c r="AG6" s="573"/>
    </row>
    <row r="7" spans="1:33">
      <c r="A7" s="606" t="s">
        <v>1719</v>
      </c>
      <c r="B7" s="39" t="s">
        <v>74</v>
      </c>
      <c r="C7" s="598" t="s">
        <v>78</v>
      </c>
      <c r="D7" s="599"/>
      <c r="E7" s="39">
        <v>52.86</v>
      </c>
      <c r="F7" s="297">
        <v>1669</v>
      </c>
      <c r="G7" s="292">
        <f t="shared" si="0"/>
        <v>88223.34</v>
      </c>
      <c r="H7" s="48" t="s">
        <v>126</v>
      </c>
      <c r="I7" s="295">
        <v>16</v>
      </c>
      <c r="J7" s="43">
        <v>2000</v>
      </c>
      <c r="K7" s="18">
        <f t="shared" si="1"/>
        <v>125</v>
      </c>
      <c r="L7" s="295">
        <v>16</v>
      </c>
      <c r="M7" s="19">
        <f t="shared" si="2"/>
        <v>1925.7692307692316</v>
      </c>
      <c r="N7" s="18">
        <f t="shared" si="3"/>
        <v>120.36057692307698</v>
      </c>
      <c r="O7" s="20">
        <f t="shared" si="4"/>
        <v>0</v>
      </c>
      <c r="P7" s="21">
        <f t="shared" si="5"/>
        <v>-4.6394230769230234</v>
      </c>
      <c r="Q7" s="293">
        <f t="shared" si="6"/>
        <v>0.96288461538461578</v>
      </c>
      <c r="R7" s="573"/>
      <c r="S7" s="49">
        <v>0.78541666666666665</v>
      </c>
      <c r="T7" s="49">
        <v>0.82152777777777775</v>
      </c>
      <c r="U7" s="292">
        <f t="shared" si="10"/>
        <v>7.9999999999999716</v>
      </c>
      <c r="V7" s="296">
        <f t="shared" si="7"/>
        <v>51.999999999999972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-74.230769230768374</v>
      </c>
      <c r="AF7" s="293">
        <f t="shared" si="9"/>
        <v>0.96288461538461578</v>
      </c>
      <c r="AG7" s="573"/>
    </row>
    <row r="8" spans="1:33">
      <c r="A8" s="606" t="s">
        <v>1719</v>
      </c>
      <c r="B8" s="39" t="s">
        <v>1720</v>
      </c>
      <c r="C8" s="576"/>
      <c r="D8" s="576"/>
      <c r="E8" s="294"/>
      <c r="F8" s="42"/>
      <c r="G8" s="18"/>
      <c r="H8" s="297"/>
      <c r="I8" s="32">
        <v>16</v>
      </c>
      <c r="J8" s="43">
        <v>2000</v>
      </c>
      <c r="K8" s="18">
        <f t="shared" si="1"/>
        <v>125</v>
      </c>
      <c r="L8" s="32">
        <v>16</v>
      </c>
      <c r="M8" s="19">
        <f>AVERAGE(M5:M7)</f>
        <v>1932.5374560080447</v>
      </c>
      <c r="N8" s="18">
        <f t="shared" si="3"/>
        <v>120.7835910005028</v>
      </c>
      <c r="O8" s="20">
        <f t="shared" si="4"/>
        <v>0</v>
      </c>
      <c r="P8" s="21">
        <f t="shared" si="5"/>
        <v>-4.2164089994972045</v>
      </c>
      <c r="Q8" s="293">
        <f t="shared" si="6"/>
        <v>0.96626872800402241</v>
      </c>
      <c r="R8" s="573"/>
      <c r="S8" s="49"/>
      <c r="T8" s="49"/>
      <c r="U8" s="292"/>
      <c r="V8" s="296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-67.462543991955272</v>
      </c>
      <c r="AF8" s="293">
        <f t="shared" si="9"/>
        <v>0.96626872800402241</v>
      </c>
      <c r="AG8" s="573"/>
    </row>
    <row r="9" spans="1:33" ht="15.75" customHeight="1">
      <c r="A9" s="602" t="s">
        <v>47</v>
      </c>
      <c r="B9" s="39" t="s">
        <v>79</v>
      </c>
      <c r="C9" s="598" t="s">
        <v>80</v>
      </c>
      <c r="D9" s="599"/>
      <c r="E9" s="39">
        <v>39.619999999999997</v>
      </c>
      <c r="F9" s="297">
        <v>4559</v>
      </c>
      <c r="G9" s="292">
        <f t="shared" ref="G9:G10" si="11">E9*F9</f>
        <v>180627.58</v>
      </c>
      <c r="H9" s="48" t="s">
        <v>126</v>
      </c>
      <c r="I9" s="295">
        <v>19</v>
      </c>
      <c r="J9" s="43">
        <v>1500</v>
      </c>
      <c r="K9" s="18">
        <f t="shared" si="1"/>
        <v>78.94736842105263</v>
      </c>
      <c r="L9" s="295">
        <v>19</v>
      </c>
      <c r="M9" s="19">
        <f t="shared" ref="M9:M10" si="12">F9/V9*60</f>
        <v>1432.1465968586385</v>
      </c>
      <c r="N9" s="18">
        <f t="shared" si="3"/>
        <v>75.376136676770443</v>
      </c>
      <c r="O9" s="20">
        <f t="shared" si="4"/>
        <v>0</v>
      </c>
      <c r="P9" s="21">
        <f t="shared" si="5"/>
        <v>-3.571231744282187</v>
      </c>
      <c r="Q9" s="293">
        <f t="shared" si="6"/>
        <v>0.95476439790575895</v>
      </c>
      <c r="R9" s="573">
        <f>Q11</f>
        <v>0.95378669333490207</v>
      </c>
      <c r="S9" s="49">
        <v>0.20833333333333334</v>
      </c>
      <c r="T9" s="49">
        <v>0.34097222222222223</v>
      </c>
      <c r="U9" s="292"/>
      <c r="V9" s="296">
        <f t="shared" ref="V9:V10" si="13">(T9-S9)*24*60</f>
        <v>191</v>
      </c>
      <c r="W9" s="25"/>
      <c r="X9" s="25"/>
      <c r="Y9" s="25"/>
      <c r="Z9" s="25"/>
      <c r="AA9" s="575"/>
      <c r="AB9" s="575"/>
      <c r="AC9" s="50">
        <v>2</v>
      </c>
      <c r="AD9" s="27"/>
      <c r="AE9" s="20">
        <f t="shared" si="8"/>
        <v>-67.853403141361468</v>
      </c>
      <c r="AF9" s="293">
        <f t="shared" si="9"/>
        <v>0.95476439790575907</v>
      </c>
      <c r="AG9" s="573">
        <f>AF11</f>
        <v>0.95378669333490207</v>
      </c>
    </row>
    <row r="10" spans="1:33" ht="15.75" customHeight="1">
      <c r="A10" s="602" t="s">
        <v>1721</v>
      </c>
      <c r="B10" s="39" t="s">
        <v>79</v>
      </c>
      <c r="C10" s="598" t="s">
        <v>81</v>
      </c>
      <c r="D10" s="599"/>
      <c r="E10" s="39">
        <v>39.799999999999997</v>
      </c>
      <c r="F10" s="297">
        <v>6360</v>
      </c>
      <c r="G10" s="292">
        <f t="shared" si="11"/>
        <v>253127.99999999997</v>
      </c>
      <c r="H10" s="48" t="s">
        <v>126</v>
      </c>
      <c r="I10" s="295">
        <v>17</v>
      </c>
      <c r="J10" s="43">
        <v>1500</v>
      </c>
      <c r="K10" s="18">
        <f t="shared" si="1"/>
        <v>88.235294117647058</v>
      </c>
      <c r="L10" s="295">
        <v>17</v>
      </c>
      <c r="M10" s="19">
        <f t="shared" si="12"/>
        <v>1429.2134831460673</v>
      </c>
      <c r="N10" s="18">
        <f t="shared" si="3"/>
        <v>84.071381361533369</v>
      </c>
      <c r="O10" s="20">
        <f t="shared" si="4"/>
        <v>0</v>
      </c>
      <c r="P10" s="21">
        <f t="shared" si="5"/>
        <v>-4.1639127561136888</v>
      </c>
      <c r="Q10" s="293">
        <f t="shared" si="6"/>
        <v>0.95280898876404485</v>
      </c>
      <c r="R10" s="573"/>
      <c r="S10" s="49">
        <v>0.34652777777777777</v>
      </c>
      <c r="T10" s="49">
        <v>0.53194444444444444</v>
      </c>
      <c r="U10" s="292">
        <f t="shared" ref="U10" si="14">IF(S10=TIME(17,0,0),"",(S10-T9)*24*60)</f>
        <v>7.9999999999999716</v>
      </c>
      <c r="V10" s="296">
        <f t="shared" si="13"/>
        <v>267</v>
      </c>
      <c r="W10" s="25"/>
      <c r="X10" s="25"/>
      <c r="Y10" s="25"/>
      <c r="Z10" s="25"/>
      <c r="AA10" s="575"/>
      <c r="AB10" s="575"/>
      <c r="AC10" s="50"/>
      <c r="AD10" s="27"/>
      <c r="AE10" s="20">
        <f t="shared" si="8"/>
        <v>-70.786516853932653</v>
      </c>
      <c r="AF10" s="293">
        <f t="shared" si="9"/>
        <v>0.95280898876404485</v>
      </c>
      <c r="AG10" s="573"/>
    </row>
    <row r="11" spans="1:33" ht="16.5" customHeight="1">
      <c r="A11" s="602" t="s">
        <v>1721</v>
      </c>
      <c r="B11" s="39" t="s">
        <v>1720</v>
      </c>
      <c r="C11" s="576"/>
      <c r="D11" s="576"/>
      <c r="E11" s="294"/>
      <c r="F11" s="43"/>
      <c r="G11" s="19"/>
      <c r="H11" s="297"/>
      <c r="I11" s="32">
        <v>18</v>
      </c>
      <c r="J11" s="43">
        <v>1500</v>
      </c>
      <c r="K11" s="18">
        <f t="shared" si="1"/>
        <v>83.333333333333329</v>
      </c>
      <c r="L11" s="32">
        <v>18</v>
      </c>
      <c r="M11" s="19">
        <f>AVERAGE(M9:M10)</f>
        <v>1430.6800400023531</v>
      </c>
      <c r="N11" s="18">
        <f t="shared" si="3"/>
        <v>79.482224444575166</v>
      </c>
      <c r="O11" s="20">
        <f t="shared" si="4"/>
        <v>0</v>
      </c>
      <c r="P11" s="21">
        <f t="shared" si="5"/>
        <v>-3.8511088887581622</v>
      </c>
      <c r="Q11" s="293">
        <f t="shared" si="6"/>
        <v>0.95378669333490207</v>
      </c>
      <c r="R11" s="573"/>
      <c r="S11" s="49"/>
      <c r="T11" s="49"/>
      <c r="U11" s="18"/>
      <c r="V11" s="296"/>
      <c r="W11" s="18"/>
      <c r="X11" s="18"/>
      <c r="Y11" s="33">
        <f>SUM(Y9:Y10)</f>
        <v>0</v>
      </c>
      <c r="Z11" s="33">
        <f>SUM(Z9:Z10)</f>
        <v>0</v>
      </c>
      <c r="AA11" s="572"/>
      <c r="AB11" s="572"/>
      <c r="AC11" s="33">
        <v>2</v>
      </c>
      <c r="AD11" s="33">
        <f>SUM(AD9:AD10)</f>
        <v>0</v>
      </c>
      <c r="AE11" s="20">
        <f t="shared" si="8"/>
        <v>-69.319959997646947</v>
      </c>
      <c r="AF11" s="293">
        <f t="shared" si="9"/>
        <v>0.95378669333490207</v>
      </c>
      <c r="AG11" s="573"/>
    </row>
    <row r="12" spans="1:33" ht="16.5" customHeight="1">
      <c r="A12" s="600" t="s">
        <v>52</v>
      </c>
      <c r="B12" s="297" t="s">
        <v>82</v>
      </c>
      <c r="C12" s="594" t="s">
        <v>83</v>
      </c>
      <c r="D12" s="594"/>
      <c r="E12" s="39">
        <v>41</v>
      </c>
      <c r="F12" s="297">
        <v>1644</v>
      </c>
      <c r="G12" s="292">
        <f t="shared" ref="G12:G14" si="15">E12*F12</f>
        <v>67404</v>
      </c>
      <c r="H12" s="48" t="s">
        <v>126</v>
      </c>
      <c r="I12" s="295">
        <v>26</v>
      </c>
      <c r="J12" s="43">
        <v>1500</v>
      </c>
      <c r="K12" s="18">
        <f t="shared" si="1"/>
        <v>57.692307692307693</v>
      </c>
      <c r="L12" s="295">
        <v>26</v>
      </c>
      <c r="M12" s="19">
        <f t="shared" ref="M12:M14" si="16">F12/V12*60</f>
        <v>1429.5652173913052</v>
      </c>
      <c r="N12" s="18">
        <f t="shared" si="3"/>
        <v>54.983277591973277</v>
      </c>
      <c r="O12" s="20">
        <f t="shared" si="4"/>
        <v>0</v>
      </c>
      <c r="P12" s="21">
        <f t="shared" si="5"/>
        <v>-2.7090301003344166</v>
      </c>
      <c r="Q12" s="293">
        <f t="shared" si="6"/>
        <v>0.9530434782608701</v>
      </c>
      <c r="R12" s="573">
        <f>Q15</f>
        <v>0.95351595408117151</v>
      </c>
      <c r="S12" s="49">
        <v>0.20833333333333334</v>
      </c>
      <c r="T12" s="49">
        <v>0.25624999999999998</v>
      </c>
      <c r="U12" s="292"/>
      <c r="V12" s="296">
        <f t="shared" ref="V12:V14" si="17">(T12-S12)*24*60</f>
        <v>68.999999999999957</v>
      </c>
      <c r="W12" s="30"/>
      <c r="X12" s="30"/>
      <c r="Y12" s="30"/>
      <c r="Z12" s="30"/>
      <c r="AA12" s="575"/>
      <c r="AB12" s="575"/>
      <c r="AC12" s="50">
        <v>3</v>
      </c>
      <c r="AD12" s="27"/>
      <c r="AE12" s="20">
        <f t="shared" si="8"/>
        <v>-70.434782608694832</v>
      </c>
      <c r="AF12" s="293">
        <f t="shared" si="9"/>
        <v>0.9530434782608701</v>
      </c>
      <c r="AG12" s="573">
        <f>AF15</f>
        <v>0.95351595408117151</v>
      </c>
    </row>
    <row r="13" spans="1:33" ht="16.5" customHeight="1">
      <c r="A13" s="601" t="s">
        <v>52</v>
      </c>
      <c r="B13" s="297" t="s">
        <v>74</v>
      </c>
      <c r="C13" s="594" t="s">
        <v>85</v>
      </c>
      <c r="D13" s="594"/>
      <c r="E13" s="39">
        <v>53.68</v>
      </c>
      <c r="F13" s="297">
        <v>1243</v>
      </c>
      <c r="G13" s="292">
        <f t="shared" si="15"/>
        <v>66724.240000000005</v>
      </c>
      <c r="H13" s="48" t="s">
        <v>126</v>
      </c>
      <c r="I13" s="295">
        <v>16</v>
      </c>
      <c r="J13" s="43">
        <v>1500</v>
      </c>
      <c r="K13" s="18">
        <f t="shared" si="1"/>
        <v>93.75</v>
      </c>
      <c r="L13" s="295">
        <v>16</v>
      </c>
      <c r="M13" s="19">
        <f t="shared" si="16"/>
        <v>1434.23076923077</v>
      </c>
      <c r="N13" s="18">
        <f t="shared" si="3"/>
        <v>89.639423076923123</v>
      </c>
      <c r="O13" s="20">
        <f t="shared" si="4"/>
        <v>0</v>
      </c>
      <c r="P13" s="21">
        <f t="shared" si="5"/>
        <v>-4.1105769230768772</v>
      </c>
      <c r="Q13" s="293">
        <f t="shared" si="6"/>
        <v>0.95615384615384669</v>
      </c>
      <c r="R13" s="573"/>
      <c r="S13" s="49">
        <v>0.70833333333333337</v>
      </c>
      <c r="T13" s="49">
        <v>0.74444444444444446</v>
      </c>
      <c r="U13" s="292" t="str">
        <f t="shared" ref="U13:U14" si="18">IF(S13=TIME(17,0,0),"",(S13-T12)*24*60)</f>
        <v/>
      </c>
      <c r="V13" s="296">
        <f t="shared" si="17"/>
        <v>51.999999999999972</v>
      </c>
      <c r="W13" s="25"/>
      <c r="X13" s="25"/>
      <c r="Y13" s="25"/>
      <c r="Z13" s="25"/>
      <c r="AA13" s="575"/>
      <c r="AB13" s="575"/>
      <c r="AC13" s="50"/>
      <c r="AD13" s="27"/>
      <c r="AE13" s="20">
        <f t="shared" si="8"/>
        <v>-65.769230769230035</v>
      </c>
      <c r="AF13" s="293">
        <f t="shared" si="9"/>
        <v>0.95615384615384669</v>
      </c>
      <c r="AG13" s="573"/>
    </row>
    <row r="14" spans="1:33" ht="16.5" customHeight="1">
      <c r="A14" s="601" t="s">
        <v>52</v>
      </c>
      <c r="B14" s="297" t="s">
        <v>74</v>
      </c>
      <c r="C14" s="594" t="s">
        <v>86</v>
      </c>
      <c r="D14" s="594"/>
      <c r="E14" s="39">
        <v>50.92</v>
      </c>
      <c r="F14" s="297">
        <v>2348</v>
      </c>
      <c r="G14" s="292">
        <f t="shared" si="15"/>
        <v>119560.16</v>
      </c>
      <c r="H14" s="48" t="s">
        <v>126</v>
      </c>
      <c r="I14" s="295">
        <v>15</v>
      </c>
      <c r="J14" s="43">
        <v>2000</v>
      </c>
      <c r="K14" s="18">
        <f t="shared" si="1"/>
        <v>133.33333333333334</v>
      </c>
      <c r="L14" s="295">
        <v>15</v>
      </c>
      <c r="M14" s="19">
        <f t="shared" si="16"/>
        <v>1903.7837837837824</v>
      </c>
      <c r="N14" s="18">
        <f t="shared" si="3"/>
        <v>126.91891891891882</v>
      </c>
      <c r="O14" s="20">
        <f t="shared" si="4"/>
        <v>0</v>
      </c>
      <c r="P14" s="21">
        <f t="shared" si="5"/>
        <v>-6.414414414414523</v>
      </c>
      <c r="Q14" s="293">
        <f t="shared" si="6"/>
        <v>0.95189189189189105</v>
      </c>
      <c r="R14" s="573"/>
      <c r="S14" s="49">
        <v>0.74791666666666667</v>
      </c>
      <c r="T14" s="49">
        <v>0.7993055555555556</v>
      </c>
      <c r="U14" s="292">
        <f t="shared" si="18"/>
        <v>4.9999999999999822</v>
      </c>
      <c r="V14" s="296">
        <f t="shared" si="17"/>
        <v>74.000000000000057</v>
      </c>
      <c r="W14" s="25"/>
      <c r="X14" s="25"/>
      <c r="Y14" s="25"/>
      <c r="Z14" s="25"/>
      <c r="AA14" s="575"/>
      <c r="AB14" s="575"/>
      <c r="AC14" s="50"/>
      <c r="AD14" s="27"/>
      <c r="AE14" s="20">
        <f t="shared" si="8"/>
        <v>-96.216216216217617</v>
      </c>
      <c r="AF14" s="293">
        <f t="shared" si="9"/>
        <v>0.95189189189189116</v>
      </c>
      <c r="AG14" s="573"/>
    </row>
    <row r="15" spans="1:33" ht="16.5" customHeight="1">
      <c r="A15" s="601" t="s">
        <v>52</v>
      </c>
      <c r="B15" s="39" t="s">
        <v>1720</v>
      </c>
      <c r="C15" s="576"/>
      <c r="D15" s="576"/>
      <c r="E15" s="294"/>
      <c r="F15" s="42"/>
      <c r="G15" s="18"/>
      <c r="H15" s="297"/>
      <c r="I15" s="32">
        <v>19</v>
      </c>
      <c r="J15" s="43">
        <v>1666.6666666666667</v>
      </c>
      <c r="K15" s="18">
        <f t="shared" si="1"/>
        <v>87.719298245614041</v>
      </c>
      <c r="L15" s="32">
        <v>19</v>
      </c>
      <c r="M15" s="19">
        <f>AVERAGE(M12:M14)</f>
        <v>1589.1932568019527</v>
      </c>
      <c r="N15" s="18">
        <f t="shared" si="3"/>
        <v>83.641750357997509</v>
      </c>
      <c r="O15" s="20">
        <f t="shared" si="4"/>
        <v>0</v>
      </c>
      <c r="P15" s="21">
        <f t="shared" si="5"/>
        <v>-4.0775478876165323</v>
      </c>
      <c r="Q15" s="293">
        <f t="shared" si="6"/>
        <v>0.95351595408117151</v>
      </c>
      <c r="R15" s="573"/>
      <c r="S15" s="49"/>
      <c r="T15" s="49"/>
      <c r="U15" s="292"/>
      <c r="V15" s="296"/>
      <c r="W15" s="18"/>
      <c r="X15" s="18"/>
      <c r="Y15" s="33">
        <f>SUM(Y12:Y14)</f>
        <v>0</v>
      </c>
      <c r="Z15" s="33">
        <f>SUM(Z12:Z14)</f>
        <v>0</v>
      </c>
      <c r="AA15" s="572"/>
      <c r="AB15" s="572"/>
      <c r="AC15" s="33">
        <v>3</v>
      </c>
      <c r="AD15" s="33">
        <f>SUM(AD12:AD14)</f>
        <v>0</v>
      </c>
      <c r="AE15" s="20">
        <f t="shared" si="8"/>
        <v>-77.473409864714085</v>
      </c>
      <c r="AF15" s="293">
        <f t="shared" si="9"/>
        <v>0.95351595408117151</v>
      </c>
      <c r="AG15" s="573"/>
    </row>
    <row r="16" spans="1:33" ht="15.75" customHeight="1">
      <c r="A16" s="596" t="s">
        <v>53</v>
      </c>
      <c r="B16" s="39" t="s">
        <v>74</v>
      </c>
      <c r="C16" s="594" t="s">
        <v>84</v>
      </c>
      <c r="D16" s="594"/>
      <c r="E16" s="39">
        <v>54.09</v>
      </c>
      <c r="F16" s="297">
        <v>1782</v>
      </c>
      <c r="G16" s="292">
        <f t="shared" ref="G16:G21" si="19">E16*F16</f>
        <v>96388.38</v>
      </c>
      <c r="H16" s="48" t="s">
        <v>126</v>
      </c>
      <c r="I16" s="295">
        <v>17</v>
      </c>
      <c r="J16" s="43">
        <v>1500</v>
      </c>
      <c r="K16" s="18">
        <f t="shared" si="1"/>
        <v>88.235294117647058</v>
      </c>
      <c r="L16" s="295">
        <v>17</v>
      </c>
      <c r="M16" s="19">
        <f t="shared" ref="M16:M21" si="20">F16/V16*60</f>
        <v>1444.8648648648646</v>
      </c>
      <c r="N16" s="18">
        <f t="shared" si="3"/>
        <v>84.992050874403802</v>
      </c>
      <c r="O16" s="20">
        <f t="shared" si="4"/>
        <v>0</v>
      </c>
      <c r="P16" s="21">
        <f t="shared" si="5"/>
        <v>-3.2432432432432563</v>
      </c>
      <c r="Q16" s="293">
        <f t="shared" si="6"/>
        <v>0.96324324324324306</v>
      </c>
      <c r="R16" s="573">
        <f>Q22</f>
        <v>0.95898802104782366</v>
      </c>
      <c r="S16" s="49">
        <v>0.20833333333333334</v>
      </c>
      <c r="T16" s="49">
        <v>0.25972222222222224</v>
      </c>
      <c r="U16" s="292"/>
      <c r="V16" s="296">
        <f t="shared" ref="V16:V21" si="21">(T16-S16)*24*60</f>
        <v>74.000000000000014</v>
      </c>
      <c r="W16" s="30"/>
      <c r="X16" s="30"/>
      <c r="Y16" s="30"/>
      <c r="Z16" s="30"/>
      <c r="AA16" s="575"/>
      <c r="AB16" s="575"/>
      <c r="AC16" s="50">
        <v>6</v>
      </c>
      <c r="AD16" s="27"/>
      <c r="AE16" s="20">
        <f t="shared" si="8"/>
        <v>-55.135135135135442</v>
      </c>
      <c r="AF16" s="293">
        <f t="shared" si="9"/>
        <v>0.96324324324324306</v>
      </c>
      <c r="AG16" s="573">
        <f>AF22</f>
        <v>0.95898802104782377</v>
      </c>
    </row>
    <row r="17" spans="1:33" ht="15.75" customHeight="1">
      <c r="A17" s="597" t="s">
        <v>1722</v>
      </c>
      <c r="B17" s="39" t="s">
        <v>74</v>
      </c>
      <c r="C17" s="594" t="s">
        <v>89</v>
      </c>
      <c r="D17" s="594"/>
      <c r="E17" s="39">
        <v>50.67</v>
      </c>
      <c r="F17" s="297">
        <v>1990</v>
      </c>
      <c r="G17" s="292">
        <f t="shared" si="19"/>
        <v>100833.3</v>
      </c>
      <c r="H17" s="48" t="s">
        <v>126</v>
      </c>
      <c r="I17" s="295">
        <v>17</v>
      </c>
      <c r="J17" s="43">
        <v>2000</v>
      </c>
      <c r="K17" s="18">
        <f t="shared" si="1"/>
        <v>117.64705882352941</v>
      </c>
      <c r="L17" s="295">
        <v>17</v>
      </c>
      <c r="M17" s="19">
        <f t="shared" si="20"/>
        <v>1925.8064516129027</v>
      </c>
      <c r="N17" s="18">
        <f t="shared" si="3"/>
        <v>113.28273244781781</v>
      </c>
      <c r="O17" s="20">
        <f t="shared" si="4"/>
        <v>0</v>
      </c>
      <c r="P17" s="21">
        <f t="shared" si="5"/>
        <v>-4.3643263757115989</v>
      </c>
      <c r="Q17" s="293">
        <f t="shared" si="6"/>
        <v>0.96290322580645138</v>
      </c>
      <c r="R17" s="573"/>
      <c r="S17" s="49">
        <v>0.26458333333333334</v>
      </c>
      <c r="T17" s="49">
        <v>0.30763888888888891</v>
      </c>
      <c r="U17" s="292">
        <f t="shared" ref="U17:U21" si="22">IF(S17=TIME(17,0,0),"",(S17-T16)*24*60)</f>
        <v>6.9999999999999751</v>
      </c>
      <c r="V17" s="296">
        <f t="shared" si="21"/>
        <v>62.000000000000021</v>
      </c>
      <c r="W17" s="25"/>
      <c r="X17" s="292"/>
      <c r="Y17" s="292"/>
      <c r="Z17" s="292"/>
      <c r="AA17" s="575"/>
      <c r="AB17" s="575"/>
      <c r="AC17" s="50"/>
      <c r="AD17" s="27"/>
      <c r="AE17" s="20">
        <f t="shared" si="8"/>
        <v>-74.19354838709728</v>
      </c>
      <c r="AF17" s="293">
        <f t="shared" si="9"/>
        <v>0.96290322580645138</v>
      </c>
      <c r="AG17" s="573"/>
    </row>
    <row r="18" spans="1:33" ht="15.75" customHeight="1">
      <c r="A18" s="597" t="s">
        <v>1723</v>
      </c>
      <c r="B18" s="39" t="s">
        <v>74</v>
      </c>
      <c r="C18" s="594" t="s">
        <v>90</v>
      </c>
      <c r="D18" s="594"/>
      <c r="E18" s="39">
        <v>57.73</v>
      </c>
      <c r="F18" s="297">
        <v>2214</v>
      </c>
      <c r="G18" s="292">
        <f t="shared" si="19"/>
        <v>127814.21999999999</v>
      </c>
      <c r="H18" s="48" t="s">
        <v>126</v>
      </c>
      <c r="I18" s="295">
        <v>14</v>
      </c>
      <c r="J18" s="43">
        <v>2000</v>
      </c>
      <c r="K18" s="18">
        <f t="shared" si="1"/>
        <v>142.85714285714286</v>
      </c>
      <c r="L18" s="295">
        <v>14</v>
      </c>
      <c r="M18" s="19">
        <f t="shared" si="20"/>
        <v>1925.217391304348</v>
      </c>
      <c r="N18" s="18">
        <f t="shared" si="3"/>
        <v>137.51552795031057</v>
      </c>
      <c r="O18" s="20">
        <f t="shared" si="4"/>
        <v>0</v>
      </c>
      <c r="P18" s="21">
        <f t="shared" si="5"/>
        <v>-5.3416149068322909</v>
      </c>
      <c r="Q18" s="293">
        <f t="shared" si="6"/>
        <v>0.962608695652174</v>
      </c>
      <c r="R18" s="573"/>
      <c r="S18" s="49">
        <v>0.31111111111111112</v>
      </c>
      <c r="T18" s="49">
        <v>0.35902777777777778</v>
      </c>
      <c r="U18" s="292">
        <f t="shared" si="22"/>
        <v>4.9999999999999822</v>
      </c>
      <c r="V18" s="296">
        <f t="shared" si="21"/>
        <v>69</v>
      </c>
      <c r="W18" s="25"/>
      <c r="X18" s="292"/>
      <c r="Y18" s="292"/>
      <c r="Z18" s="292"/>
      <c r="AA18" s="575"/>
      <c r="AB18" s="575"/>
      <c r="AC18" s="50"/>
      <c r="AD18" s="27"/>
      <c r="AE18" s="20">
        <f t="shared" si="8"/>
        <v>-74.782608695652016</v>
      </c>
      <c r="AF18" s="293">
        <f t="shared" si="9"/>
        <v>0.962608695652174</v>
      </c>
      <c r="AG18" s="573"/>
    </row>
    <row r="19" spans="1:33" ht="15.75" customHeight="1">
      <c r="A19" s="597" t="s">
        <v>1723</v>
      </c>
      <c r="B19" s="39" t="s">
        <v>74</v>
      </c>
      <c r="C19" s="594" t="s">
        <v>1232</v>
      </c>
      <c r="D19" s="594"/>
      <c r="E19" s="39">
        <v>53.27</v>
      </c>
      <c r="F19" s="297">
        <v>2165</v>
      </c>
      <c r="G19" s="292">
        <f t="shared" si="19"/>
        <v>115329.55</v>
      </c>
      <c r="H19" s="48" t="s">
        <v>126</v>
      </c>
      <c r="I19" s="295">
        <v>16</v>
      </c>
      <c r="J19" s="43">
        <v>2000</v>
      </c>
      <c r="K19" s="18">
        <f t="shared" si="1"/>
        <v>125</v>
      </c>
      <c r="L19" s="295">
        <v>16</v>
      </c>
      <c r="M19" s="19">
        <f t="shared" si="20"/>
        <v>1910.294117647059</v>
      </c>
      <c r="N19" s="18">
        <f t="shared" si="3"/>
        <v>119.39338235294119</v>
      </c>
      <c r="O19" s="20">
        <f t="shared" si="4"/>
        <v>0</v>
      </c>
      <c r="P19" s="21">
        <f t="shared" si="5"/>
        <v>-5.6066176470588118</v>
      </c>
      <c r="Q19" s="293">
        <f t="shared" si="6"/>
        <v>0.95514705882352946</v>
      </c>
      <c r="R19" s="573"/>
      <c r="S19" s="49">
        <v>0.36319444444444443</v>
      </c>
      <c r="T19" s="49">
        <v>0.41041666666666665</v>
      </c>
      <c r="U19" s="292">
        <f t="shared" si="22"/>
        <v>5.9999999999999787</v>
      </c>
      <c r="V19" s="296">
        <f t="shared" si="21"/>
        <v>68</v>
      </c>
      <c r="W19" s="25"/>
      <c r="X19" s="292"/>
      <c r="Y19" s="292"/>
      <c r="Z19" s="292"/>
      <c r="AA19" s="575"/>
      <c r="AB19" s="575"/>
      <c r="AC19" s="50"/>
      <c r="AD19" s="27"/>
      <c r="AE19" s="20">
        <f t="shared" si="8"/>
        <v>-89.705882352940989</v>
      </c>
      <c r="AF19" s="293">
        <f t="shared" si="9"/>
        <v>0.95514705882352946</v>
      </c>
      <c r="AG19" s="573"/>
    </row>
    <row r="20" spans="1:33" ht="15.75" customHeight="1">
      <c r="A20" s="597" t="s">
        <v>53</v>
      </c>
      <c r="B20" s="39" t="s">
        <v>74</v>
      </c>
      <c r="C20" s="594" t="s">
        <v>92</v>
      </c>
      <c r="D20" s="594"/>
      <c r="E20" s="39">
        <v>50.49</v>
      </c>
      <c r="F20" s="297">
        <v>2191</v>
      </c>
      <c r="G20" s="292">
        <f t="shared" si="19"/>
        <v>110623.59000000001</v>
      </c>
      <c r="H20" s="48" t="s">
        <v>126</v>
      </c>
      <c r="I20" s="295">
        <v>15</v>
      </c>
      <c r="J20" s="43">
        <v>2000</v>
      </c>
      <c r="K20" s="18">
        <f t="shared" si="1"/>
        <v>133.33333333333334</v>
      </c>
      <c r="L20" s="295">
        <v>15</v>
      </c>
      <c r="M20" s="19">
        <f t="shared" si="20"/>
        <v>1905.2173913043459</v>
      </c>
      <c r="N20" s="18">
        <f t="shared" si="3"/>
        <v>127.01449275362306</v>
      </c>
      <c r="O20" s="20">
        <f t="shared" si="4"/>
        <v>0</v>
      </c>
      <c r="P20" s="21">
        <f t="shared" si="5"/>
        <v>-6.3188405797102831</v>
      </c>
      <c r="Q20" s="293">
        <f t="shared" si="6"/>
        <v>0.95260869565217288</v>
      </c>
      <c r="R20" s="573"/>
      <c r="S20" s="49">
        <v>0.70833333333333337</v>
      </c>
      <c r="T20" s="49">
        <v>0.75625000000000009</v>
      </c>
      <c r="U20" s="292" t="str">
        <f t="shared" si="22"/>
        <v/>
      </c>
      <c r="V20" s="296">
        <f t="shared" si="21"/>
        <v>69.000000000000071</v>
      </c>
      <c r="W20" s="25"/>
      <c r="X20" s="25"/>
      <c r="Y20" s="292"/>
      <c r="Z20" s="292"/>
      <c r="AA20" s="575"/>
      <c r="AB20" s="575"/>
      <c r="AC20" s="50"/>
      <c r="AD20" s="27"/>
      <c r="AE20" s="20">
        <f t="shared" si="8"/>
        <v>-94.782608695654062</v>
      </c>
      <c r="AF20" s="293">
        <f t="shared" si="9"/>
        <v>0.95260869565217299</v>
      </c>
      <c r="AG20" s="573"/>
    </row>
    <row r="21" spans="1:33" ht="15.75" customHeight="1">
      <c r="A21" s="597" t="s">
        <v>53</v>
      </c>
      <c r="B21" s="39" t="s">
        <v>74</v>
      </c>
      <c r="C21" s="594" t="s">
        <v>93</v>
      </c>
      <c r="D21" s="594"/>
      <c r="E21" s="39">
        <v>50.98</v>
      </c>
      <c r="F21" s="297">
        <v>2524</v>
      </c>
      <c r="G21" s="292">
        <f t="shared" si="19"/>
        <v>128673.51999999999</v>
      </c>
      <c r="H21" s="48" t="s">
        <v>126</v>
      </c>
      <c r="I21" s="295">
        <v>16</v>
      </c>
      <c r="J21" s="43">
        <v>2000</v>
      </c>
      <c r="K21" s="18">
        <f t="shared" si="1"/>
        <v>125</v>
      </c>
      <c r="L21" s="295">
        <v>16</v>
      </c>
      <c r="M21" s="19">
        <f t="shared" si="20"/>
        <v>1916.9620253164546</v>
      </c>
      <c r="N21" s="18">
        <f t="shared" si="3"/>
        <v>119.81012658227841</v>
      </c>
      <c r="O21" s="20">
        <f t="shared" si="4"/>
        <v>0</v>
      </c>
      <c r="P21" s="21">
        <f t="shared" si="5"/>
        <v>-5.1898734177215857</v>
      </c>
      <c r="Q21" s="293">
        <f t="shared" si="6"/>
        <v>0.95848101265822727</v>
      </c>
      <c r="R21" s="573"/>
      <c r="S21" s="49">
        <v>0.76111111111111118</v>
      </c>
      <c r="T21" s="49">
        <v>0.81597222222222232</v>
      </c>
      <c r="U21" s="292">
        <f t="shared" si="22"/>
        <v>6.9999999999999751</v>
      </c>
      <c r="V21" s="296">
        <f t="shared" si="21"/>
        <v>79.000000000000043</v>
      </c>
      <c r="W21" s="25"/>
      <c r="X21" s="30"/>
      <c r="Y21" s="30"/>
      <c r="Z21" s="30"/>
      <c r="AA21" s="575"/>
      <c r="AB21" s="575"/>
      <c r="AC21" s="50"/>
      <c r="AD21" s="27"/>
      <c r="AE21" s="20">
        <f t="shared" si="8"/>
        <v>-83.037974683545372</v>
      </c>
      <c r="AF21" s="293">
        <f t="shared" si="9"/>
        <v>0.95848101265822727</v>
      </c>
      <c r="AG21" s="573"/>
    </row>
    <row r="22" spans="1:33" ht="15.75" customHeight="1">
      <c r="A22" s="597" t="s">
        <v>53</v>
      </c>
      <c r="B22" s="39" t="s">
        <v>1724</v>
      </c>
      <c r="C22" s="576"/>
      <c r="D22" s="576"/>
      <c r="E22" s="294"/>
      <c r="F22" s="297"/>
      <c r="G22" s="292"/>
      <c r="H22" s="297"/>
      <c r="I22" s="32">
        <v>15.833333333333334</v>
      </c>
      <c r="J22" s="43">
        <v>1916.6666666666667</v>
      </c>
      <c r="K22" s="18">
        <f t="shared" si="1"/>
        <v>121.05263157894737</v>
      </c>
      <c r="L22" s="32">
        <v>15.833333333333334</v>
      </c>
      <c r="M22" s="19">
        <f>AVERAGE(M16:M21)</f>
        <v>1838.0603736749956</v>
      </c>
      <c r="N22" s="18">
        <f t="shared" si="3"/>
        <v>116.08802360052603</v>
      </c>
      <c r="O22" s="20">
        <f t="shared" si="4"/>
        <v>0</v>
      </c>
      <c r="P22" s="21">
        <f t="shared" si="5"/>
        <v>-4.9646079784213413</v>
      </c>
      <c r="Q22" s="293">
        <f t="shared" si="6"/>
        <v>0.95898802104782366</v>
      </c>
      <c r="R22" s="573"/>
      <c r="S22" s="49"/>
      <c r="T22" s="49"/>
      <c r="U22" s="18"/>
      <c r="V22" s="296"/>
      <c r="W22" s="18"/>
      <c r="X22" s="18"/>
      <c r="Y22" s="33">
        <f>SUM(Y16:Y21)</f>
        <v>0</v>
      </c>
      <c r="Z22" s="33">
        <f>SUM(Z16:Z21)</f>
        <v>0</v>
      </c>
      <c r="AA22" s="572"/>
      <c r="AB22" s="572"/>
      <c r="AC22" s="33">
        <v>6</v>
      </c>
      <c r="AD22" s="33">
        <f>SUM(AD16:AD21)</f>
        <v>0</v>
      </c>
      <c r="AE22" s="20">
        <f t="shared" si="8"/>
        <v>-78.606292991671125</v>
      </c>
      <c r="AF22" s="293">
        <f t="shared" si="9"/>
        <v>0.95898802104782377</v>
      </c>
      <c r="AG22" s="573"/>
    </row>
    <row r="23" spans="1:33" ht="15.75" customHeight="1">
      <c r="A23" s="595" t="s">
        <v>55</v>
      </c>
      <c r="B23" s="39" t="s">
        <v>94</v>
      </c>
      <c r="C23" s="594" t="s">
        <v>95</v>
      </c>
      <c r="D23" s="594"/>
      <c r="E23" s="39">
        <v>31.29</v>
      </c>
      <c r="F23" s="297">
        <v>3700</v>
      </c>
      <c r="G23" s="292">
        <f t="shared" ref="G23:G28" si="23">E23*F23</f>
        <v>115773</v>
      </c>
      <c r="H23" s="48">
        <v>2</v>
      </c>
      <c r="I23" s="295">
        <v>18</v>
      </c>
      <c r="J23" s="43">
        <v>2400</v>
      </c>
      <c r="K23" s="18">
        <f t="shared" si="1"/>
        <v>133.33333333333334</v>
      </c>
      <c r="L23" s="295">
        <v>18</v>
      </c>
      <c r="M23" s="19">
        <f t="shared" ref="M23:M28" si="24">F23/V23*60</f>
        <v>2288.6597938144328</v>
      </c>
      <c r="N23" s="18">
        <f t="shared" si="3"/>
        <v>127.14776632302404</v>
      </c>
      <c r="O23" s="20">
        <f t="shared" si="4"/>
        <v>0</v>
      </c>
      <c r="P23" s="21">
        <f t="shared" si="5"/>
        <v>-6.185567010309299</v>
      </c>
      <c r="Q23" s="293">
        <f t="shared" si="6"/>
        <v>0.95360824742268024</v>
      </c>
      <c r="R23" s="573">
        <f>Q29</f>
        <v>0.95366186053281288</v>
      </c>
      <c r="S23" s="49">
        <v>8.3333333333333329E-2</v>
      </c>
      <c r="T23" s="49">
        <v>0.15069444444444444</v>
      </c>
      <c r="U23" s="292"/>
      <c r="V23" s="296">
        <f t="shared" ref="V23:V28" si="25">(T23-S23)*24*60</f>
        <v>97</v>
      </c>
      <c r="W23" s="25">
        <f>T23</f>
        <v>0.15069444444444444</v>
      </c>
      <c r="X23" s="25">
        <f>S24</f>
        <v>0.17083333333333334</v>
      </c>
      <c r="Y23" s="25"/>
      <c r="Z23" s="25"/>
      <c r="AA23" s="575"/>
      <c r="AB23" s="575"/>
      <c r="AC23" s="50">
        <v>6</v>
      </c>
      <c r="AD23" s="27"/>
      <c r="AE23" s="20">
        <f t="shared" si="8"/>
        <v>-111.34020618556724</v>
      </c>
      <c r="AF23" s="293">
        <f t="shared" si="9"/>
        <v>0.95360824742268036</v>
      </c>
      <c r="AG23" s="573">
        <f>AF29</f>
        <v>0.95366186053281299</v>
      </c>
    </row>
    <row r="24" spans="1:33" ht="15.75" customHeight="1">
      <c r="A24" s="595" t="s">
        <v>1725</v>
      </c>
      <c r="B24" s="39" t="s">
        <v>94</v>
      </c>
      <c r="C24" s="594" t="s">
        <v>97</v>
      </c>
      <c r="D24" s="594"/>
      <c r="E24" s="39">
        <v>26.37</v>
      </c>
      <c r="F24" s="297">
        <v>5945</v>
      </c>
      <c r="G24" s="292">
        <f t="shared" si="23"/>
        <v>156769.65</v>
      </c>
      <c r="H24" s="48" t="s">
        <v>126</v>
      </c>
      <c r="I24" s="295">
        <v>18</v>
      </c>
      <c r="J24" s="43">
        <v>2400</v>
      </c>
      <c r="K24" s="18">
        <f t="shared" si="1"/>
        <v>133.33333333333334</v>
      </c>
      <c r="L24" s="295">
        <v>18</v>
      </c>
      <c r="M24" s="19">
        <f t="shared" si="24"/>
        <v>2286.5384615384614</v>
      </c>
      <c r="N24" s="18">
        <f t="shared" si="3"/>
        <v>127.02991452991452</v>
      </c>
      <c r="O24" s="20">
        <f t="shared" si="4"/>
        <v>0</v>
      </c>
      <c r="P24" s="21">
        <f t="shared" si="5"/>
        <v>-6.3034188034188219</v>
      </c>
      <c r="Q24" s="293">
        <f t="shared" si="6"/>
        <v>0.95272435897435881</v>
      </c>
      <c r="R24" s="573"/>
      <c r="S24" s="49">
        <v>0.17083333333333334</v>
      </c>
      <c r="T24" s="49">
        <v>0.27916666666666667</v>
      </c>
      <c r="U24" s="292">
        <f t="shared" ref="U24:U28" si="26">(S24-T23)*24*60</f>
        <v>29.000000000000018</v>
      </c>
      <c r="V24" s="296">
        <f t="shared" si="25"/>
        <v>156</v>
      </c>
      <c r="W24" s="25"/>
      <c r="X24" s="25"/>
      <c r="Y24" s="25"/>
      <c r="Z24" s="25"/>
      <c r="AA24" s="575"/>
      <c r="AB24" s="575"/>
      <c r="AC24" s="50"/>
      <c r="AD24" s="27"/>
      <c r="AE24" s="20">
        <f t="shared" si="8"/>
        <v>-113.46153846153857</v>
      </c>
      <c r="AF24" s="293">
        <f t="shared" si="9"/>
        <v>0.95272435897435892</v>
      </c>
      <c r="AG24" s="573"/>
    </row>
    <row r="25" spans="1:33" ht="15.75" customHeight="1">
      <c r="A25" s="595" t="s">
        <v>55</v>
      </c>
      <c r="B25" s="39" t="s">
        <v>94</v>
      </c>
      <c r="C25" s="594" t="s">
        <v>529</v>
      </c>
      <c r="D25" s="594"/>
      <c r="E25" s="39">
        <v>26.18</v>
      </c>
      <c r="F25" s="297">
        <v>7313</v>
      </c>
      <c r="G25" s="292">
        <f t="shared" si="23"/>
        <v>191454.34</v>
      </c>
      <c r="H25" s="48" t="s">
        <v>126</v>
      </c>
      <c r="I25" s="295">
        <v>19</v>
      </c>
      <c r="J25" s="43">
        <v>2400</v>
      </c>
      <c r="K25" s="18">
        <f t="shared" si="1"/>
        <v>126.31578947368421</v>
      </c>
      <c r="L25" s="295">
        <v>19</v>
      </c>
      <c r="M25" s="19">
        <f t="shared" si="24"/>
        <v>2285.3125000000009</v>
      </c>
      <c r="N25" s="18">
        <f t="shared" si="3"/>
        <v>120.27960526315795</v>
      </c>
      <c r="O25" s="20">
        <f t="shared" si="4"/>
        <v>0</v>
      </c>
      <c r="P25" s="21">
        <f t="shared" si="5"/>
        <v>-6.0361842105262582</v>
      </c>
      <c r="Q25" s="293">
        <f t="shared" si="6"/>
        <v>0.95221354166666716</v>
      </c>
      <c r="R25" s="573"/>
      <c r="S25" s="49">
        <v>0.28263888888888888</v>
      </c>
      <c r="T25" s="49">
        <v>0.41597222222222219</v>
      </c>
      <c r="U25" s="292">
        <f t="shared" si="26"/>
        <v>4.9999999999999822</v>
      </c>
      <c r="V25" s="296">
        <f t="shared" si="25"/>
        <v>191.99999999999994</v>
      </c>
      <c r="W25" s="25"/>
      <c r="X25" s="25"/>
      <c r="Y25" s="25"/>
      <c r="Z25" s="25"/>
      <c r="AA25" s="575"/>
      <c r="AB25" s="575"/>
      <c r="AC25" s="50"/>
      <c r="AD25" s="27"/>
      <c r="AE25" s="20">
        <f t="shared" si="8"/>
        <v>-114.68749999999909</v>
      </c>
      <c r="AF25" s="293">
        <f t="shared" si="9"/>
        <v>0.95221354166666705</v>
      </c>
      <c r="AG25" s="573"/>
    </row>
    <row r="26" spans="1:33" ht="15.75" customHeight="1">
      <c r="A26" s="595" t="s">
        <v>1726</v>
      </c>
      <c r="B26" s="39" t="s">
        <v>94</v>
      </c>
      <c r="C26" s="594" t="s">
        <v>103</v>
      </c>
      <c r="D26" s="594"/>
      <c r="E26" s="39">
        <v>20.2</v>
      </c>
      <c r="F26" s="297">
        <v>1606</v>
      </c>
      <c r="G26" s="292">
        <f t="shared" si="23"/>
        <v>32441.199999999997</v>
      </c>
      <c r="H26" s="48" t="s">
        <v>126</v>
      </c>
      <c r="I26" s="295">
        <v>15</v>
      </c>
      <c r="J26" s="43">
        <v>2400</v>
      </c>
      <c r="K26" s="18">
        <f t="shared" si="1"/>
        <v>160</v>
      </c>
      <c r="L26" s="295">
        <v>15</v>
      </c>
      <c r="M26" s="19">
        <f t="shared" si="24"/>
        <v>2294.2857142857138</v>
      </c>
      <c r="N26" s="18">
        <f t="shared" si="3"/>
        <v>152.95238095238091</v>
      </c>
      <c r="O26" s="20">
        <f t="shared" si="4"/>
        <v>0</v>
      </c>
      <c r="P26" s="21">
        <f t="shared" si="5"/>
        <v>-7.0476190476190936</v>
      </c>
      <c r="Q26" s="293">
        <f t="shared" si="6"/>
        <v>0.95595238095238066</v>
      </c>
      <c r="R26" s="573"/>
      <c r="S26" s="49">
        <v>0.4194444444444444</v>
      </c>
      <c r="T26" s="49">
        <v>0.44861111111111107</v>
      </c>
      <c r="U26" s="292">
        <f t="shared" si="26"/>
        <v>4.9999999999999822</v>
      </c>
      <c r="V26" s="296">
        <f t="shared" si="25"/>
        <v>42.000000000000014</v>
      </c>
      <c r="W26" s="25"/>
      <c r="X26" s="25"/>
      <c r="Y26" s="25"/>
      <c r="Z26" s="25"/>
      <c r="AA26" s="575"/>
      <c r="AB26" s="575"/>
      <c r="AC26" s="50"/>
      <c r="AD26" s="27"/>
      <c r="AE26" s="20">
        <f t="shared" si="8"/>
        <v>-105.71428571428623</v>
      </c>
      <c r="AF26" s="293">
        <f t="shared" si="9"/>
        <v>0.95595238095238078</v>
      </c>
      <c r="AG26" s="573"/>
    </row>
    <row r="27" spans="1:33" ht="15.75" customHeight="1">
      <c r="A27" s="595" t="s">
        <v>55</v>
      </c>
      <c r="B27" s="39" t="s">
        <v>94</v>
      </c>
      <c r="C27" s="594" t="s">
        <v>98</v>
      </c>
      <c r="D27" s="594"/>
      <c r="E27" s="39">
        <v>25.99</v>
      </c>
      <c r="F27" s="297">
        <v>3671</v>
      </c>
      <c r="G27" s="292">
        <f t="shared" si="23"/>
        <v>95409.29</v>
      </c>
      <c r="H27" s="48" t="s">
        <v>126</v>
      </c>
      <c r="I27" s="295">
        <v>14</v>
      </c>
      <c r="J27" s="43">
        <v>2400</v>
      </c>
      <c r="K27" s="18">
        <f t="shared" si="1"/>
        <v>171.42857142857142</v>
      </c>
      <c r="L27" s="295">
        <v>14</v>
      </c>
      <c r="M27" s="19">
        <f t="shared" si="24"/>
        <v>2294.3750000000005</v>
      </c>
      <c r="N27" s="18">
        <f t="shared" si="3"/>
        <v>163.88392857142861</v>
      </c>
      <c r="O27" s="20">
        <f t="shared" si="4"/>
        <v>0</v>
      </c>
      <c r="P27" s="21">
        <f t="shared" si="5"/>
        <v>-7.5446428571428044</v>
      </c>
      <c r="Q27" s="293">
        <f t="shared" si="6"/>
        <v>0.95598958333333361</v>
      </c>
      <c r="R27" s="573"/>
      <c r="S27" s="49">
        <v>0.45416666666666661</v>
      </c>
      <c r="T27" s="49">
        <v>0.52083333333333326</v>
      </c>
      <c r="U27" s="292">
        <f t="shared" si="26"/>
        <v>7.9999999999999716</v>
      </c>
      <c r="V27" s="296">
        <f t="shared" si="25"/>
        <v>95.999999999999972</v>
      </c>
      <c r="W27" s="25">
        <f>T27</f>
        <v>0.52083333333333326</v>
      </c>
      <c r="X27" s="25">
        <f>S28</f>
        <v>0.56041666666666656</v>
      </c>
      <c r="Y27" s="25"/>
      <c r="Z27" s="25"/>
      <c r="AA27" s="575"/>
      <c r="AB27" s="575"/>
      <c r="AC27" s="50"/>
      <c r="AD27" s="27"/>
      <c r="AE27" s="20">
        <f t="shared" si="8"/>
        <v>-105.62499999999955</v>
      </c>
      <c r="AF27" s="293">
        <f t="shared" si="9"/>
        <v>0.9559895833333335</v>
      </c>
      <c r="AG27" s="573"/>
    </row>
    <row r="28" spans="1:33" ht="15.75" customHeight="1">
      <c r="A28" s="595" t="s">
        <v>55</v>
      </c>
      <c r="B28" s="39" t="s">
        <v>94</v>
      </c>
      <c r="C28" s="594" t="s">
        <v>95</v>
      </c>
      <c r="D28" s="594"/>
      <c r="E28" s="39">
        <v>31.29</v>
      </c>
      <c r="F28" s="297">
        <v>4491</v>
      </c>
      <c r="G28" s="292">
        <f t="shared" si="23"/>
        <v>140523.38999999998</v>
      </c>
      <c r="H28" s="48" t="s">
        <v>126</v>
      </c>
      <c r="I28" s="295">
        <v>18</v>
      </c>
      <c r="J28" s="43">
        <v>2400</v>
      </c>
      <c r="K28" s="18">
        <f t="shared" si="1"/>
        <v>133.33333333333334</v>
      </c>
      <c r="L28" s="295">
        <v>18</v>
      </c>
      <c r="M28" s="19">
        <f t="shared" si="24"/>
        <v>2283.5593220338974</v>
      </c>
      <c r="N28" s="18">
        <f t="shared" si="3"/>
        <v>126.86440677966097</v>
      </c>
      <c r="O28" s="20">
        <f t="shared" si="4"/>
        <v>0</v>
      </c>
      <c r="P28" s="21">
        <f t="shared" si="5"/>
        <v>-6.4689265536723752</v>
      </c>
      <c r="Q28" s="293">
        <f t="shared" si="6"/>
        <v>0.95148305084745721</v>
      </c>
      <c r="R28" s="573"/>
      <c r="S28" s="49">
        <v>0.56041666666666656</v>
      </c>
      <c r="T28" s="49">
        <v>0.64236111111111105</v>
      </c>
      <c r="U28" s="292">
        <f t="shared" si="26"/>
        <v>56.999999999999957</v>
      </c>
      <c r="V28" s="296">
        <f t="shared" si="25"/>
        <v>118.00000000000006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-116.44067796610261</v>
      </c>
      <c r="AF28" s="293">
        <f t="shared" si="9"/>
        <v>0.95148305084745721</v>
      </c>
      <c r="AG28" s="573"/>
    </row>
    <row r="29" spans="1:33" ht="15.75" customHeight="1">
      <c r="A29" s="595" t="s">
        <v>55</v>
      </c>
      <c r="B29" s="39" t="s">
        <v>1727</v>
      </c>
      <c r="C29" s="576"/>
      <c r="D29" s="576"/>
      <c r="E29" s="294"/>
      <c r="F29" s="297"/>
      <c r="G29" s="292"/>
      <c r="H29" s="297"/>
      <c r="I29" s="32">
        <v>17</v>
      </c>
      <c r="J29" s="43">
        <v>2400</v>
      </c>
      <c r="K29" s="18">
        <f t="shared" si="1"/>
        <v>141.1764705882353</v>
      </c>
      <c r="L29" s="32">
        <v>17</v>
      </c>
      <c r="M29" s="19">
        <f>AVERAGE(M23:M28)</f>
        <v>2288.7884652787511</v>
      </c>
      <c r="N29" s="18">
        <f t="shared" si="3"/>
        <v>134.63461560463242</v>
      </c>
      <c r="O29" s="20">
        <f t="shared" si="4"/>
        <v>0</v>
      </c>
      <c r="P29" s="21">
        <f t="shared" si="5"/>
        <v>-6.5418549836028888</v>
      </c>
      <c r="Q29" s="293">
        <f t="shared" si="6"/>
        <v>0.95366186053281288</v>
      </c>
      <c r="R29" s="573"/>
      <c r="S29" s="49"/>
      <c r="T29" s="49"/>
      <c r="U29" s="292"/>
      <c r="V29" s="296"/>
      <c r="W29" s="292"/>
      <c r="X29" s="292"/>
      <c r="Y29" s="33">
        <f>SUM(Y23:Y28)</f>
        <v>0</v>
      </c>
      <c r="Z29" s="33">
        <f>SUM(Z23:Z28)</f>
        <v>0</v>
      </c>
      <c r="AA29" s="572"/>
      <c r="AB29" s="572"/>
      <c r="AC29" s="33">
        <v>6</v>
      </c>
      <c r="AD29" s="33">
        <f>SUM(AD23:AD28)</f>
        <v>0</v>
      </c>
      <c r="AE29" s="20">
        <f t="shared" si="8"/>
        <v>-111.21153472124888</v>
      </c>
      <c r="AF29" s="293">
        <f t="shared" si="9"/>
        <v>0.95366186053281299</v>
      </c>
      <c r="AG29" s="573"/>
    </row>
    <row r="30" spans="1:33" ht="15.75" customHeight="1">
      <c r="A30" s="592" t="s">
        <v>1728</v>
      </c>
      <c r="B30" s="39" t="s">
        <v>94</v>
      </c>
      <c r="C30" s="574" t="s">
        <v>530</v>
      </c>
      <c r="D30" s="574"/>
      <c r="E30" s="39">
        <v>26.18</v>
      </c>
      <c r="F30" s="297">
        <v>6340</v>
      </c>
      <c r="G30" s="292">
        <f t="shared" ref="G30:G34" si="27">E30*F30</f>
        <v>165981.20000000001</v>
      </c>
      <c r="H30" s="48" t="s">
        <v>126</v>
      </c>
      <c r="I30" s="295">
        <v>21</v>
      </c>
      <c r="J30" s="43">
        <v>2400</v>
      </c>
      <c r="K30" s="18">
        <f t="shared" si="1"/>
        <v>114.28571428571429</v>
      </c>
      <c r="L30" s="295">
        <v>21</v>
      </c>
      <c r="M30" s="19">
        <f t="shared" ref="M30:M34" si="28">F30/V30*60</f>
        <v>2291.5662650602412</v>
      </c>
      <c r="N30" s="18">
        <f t="shared" si="3"/>
        <v>109.12220309810672</v>
      </c>
      <c r="O30" s="20">
        <f t="shared" si="4"/>
        <v>0</v>
      </c>
      <c r="P30" s="21">
        <f t="shared" si="5"/>
        <v>-5.1635111876075683</v>
      </c>
      <c r="Q30" s="293">
        <f t="shared" si="6"/>
        <v>0.95481927710843373</v>
      </c>
      <c r="R30" s="573">
        <f>Q35</f>
        <v>0.95508927645235875</v>
      </c>
      <c r="S30" s="49">
        <v>8.3333333333333329E-2</v>
      </c>
      <c r="T30" s="49">
        <v>0.1986111111111111</v>
      </c>
      <c r="U30" s="292"/>
      <c r="V30" s="296">
        <f t="shared" ref="V30:V34" si="29">(T30-S30)*24*60</f>
        <v>166</v>
      </c>
      <c r="W30" s="30">
        <f>T30</f>
        <v>0.1986111111111111</v>
      </c>
      <c r="X30" s="30">
        <f>S31</f>
        <v>0.21736111111111109</v>
      </c>
      <c r="Y30" s="30"/>
      <c r="Z30" s="30"/>
      <c r="AA30" s="575"/>
      <c r="AB30" s="575"/>
      <c r="AC30" s="50">
        <v>5</v>
      </c>
      <c r="AD30" s="27"/>
      <c r="AE30" s="20">
        <f t="shared" si="8"/>
        <v>-108.43373493975878</v>
      </c>
      <c r="AF30" s="293">
        <f t="shared" si="9"/>
        <v>0.95481927710843384</v>
      </c>
      <c r="AG30" s="573">
        <f>AF35</f>
        <v>0.95508927645235875</v>
      </c>
    </row>
    <row r="31" spans="1:33" ht="15.75" customHeight="1">
      <c r="A31" s="592" t="s">
        <v>1729</v>
      </c>
      <c r="B31" s="39" t="s">
        <v>94</v>
      </c>
      <c r="C31" s="574" t="s">
        <v>100</v>
      </c>
      <c r="D31" s="574"/>
      <c r="E31" s="39">
        <v>24.43</v>
      </c>
      <c r="F31" s="297">
        <v>5887</v>
      </c>
      <c r="G31" s="292">
        <f t="shared" si="27"/>
        <v>143819.41</v>
      </c>
      <c r="H31" s="48" t="s">
        <v>126</v>
      </c>
      <c r="I31" s="295">
        <v>14</v>
      </c>
      <c r="J31" s="43">
        <v>2400</v>
      </c>
      <c r="K31" s="18">
        <f t="shared" si="1"/>
        <v>171.42857142857142</v>
      </c>
      <c r="L31" s="295">
        <v>14</v>
      </c>
      <c r="M31" s="19">
        <f t="shared" si="28"/>
        <v>2293.6363636363635</v>
      </c>
      <c r="N31" s="18">
        <f t="shared" si="3"/>
        <v>163.83116883116881</v>
      </c>
      <c r="O31" s="20">
        <f t="shared" si="4"/>
        <v>0</v>
      </c>
      <c r="P31" s="21">
        <f t="shared" si="5"/>
        <v>-7.5974025974026063</v>
      </c>
      <c r="Q31" s="293">
        <f t="shared" si="6"/>
        <v>0.95568181818181808</v>
      </c>
      <c r="R31" s="573"/>
      <c r="S31" s="49">
        <v>0.21736111111111109</v>
      </c>
      <c r="T31" s="49">
        <v>0.32430555555555551</v>
      </c>
      <c r="U31" s="292">
        <f t="shared" ref="U31:U34" si="30">(S31-T30)*24*60</f>
        <v>26.999999999999986</v>
      </c>
      <c r="V31" s="296">
        <f t="shared" si="29"/>
        <v>154</v>
      </c>
      <c r="W31" s="292"/>
      <c r="X31" s="292"/>
      <c r="Y31" s="292"/>
      <c r="Z31" s="292"/>
      <c r="AA31" s="575"/>
      <c r="AB31" s="575"/>
      <c r="AC31" s="50"/>
      <c r="AD31" s="27"/>
      <c r="AE31" s="20">
        <f t="shared" si="8"/>
        <v>-106.36363636363649</v>
      </c>
      <c r="AF31" s="293">
        <f t="shared" si="9"/>
        <v>0.95568181818181808</v>
      </c>
      <c r="AG31" s="573"/>
    </row>
    <row r="32" spans="1:33">
      <c r="A32" s="593" t="s">
        <v>1729</v>
      </c>
      <c r="B32" s="39" t="s">
        <v>94</v>
      </c>
      <c r="C32" s="574" t="s">
        <v>102</v>
      </c>
      <c r="D32" s="574"/>
      <c r="E32" s="39">
        <v>34.1</v>
      </c>
      <c r="F32" s="297">
        <v>4400</v>
      </c>
      <c r="G32" s="292">
        <f t="shared" si="27"/>
        <v>150040</v>
      </c>
      <c r="H32" s="48">
        <v>2</v>
      </c>
      <c r="I32" s="295">
        <v>17</v>
      </c>
      <c r="J32" s="43">
        <v>1600</v>
      </c>
      <c r="K32" s="18">
        <f t="shared" si="1"/>
        <v>94.117647058823536</v>
      </c>
      <c r="L32" s="295">
        <v>17</v>
      </c>
      <c r="M32" s="19">
        <f t="shared" si="28"/>
        <v>1526.0115606936415</v>
      </c>
      <c r="N32" s="18">
        <f t="shared" si="3"/>
        <v>89.765385923155378</v>
      </c>
      <c r="O32" s="20">
        <f t="shared" si="4"/>
        <v>0</v>
      </c>
      <c r="P32" s="21">
        <f t="shared" si="5"/>
        <v>-4.352261135668158</v>
      </c>
      <c r="Q32" s="293">
        <f t="shared" si="6"/>
        <v>0.95375722543352581</v>
      </c>
      <c r="R32" s="573"/>
      <c r="S32" s="49">
        <v>0.32916666666666661</v>
      </c>
      <c r="T32" s="49">
        <v>0.44930555555555551</v>
      </c>
      <c r="U32" s="292">
        <f t="shared" si="30"/>
        <v>6.9999999999999751</v>
      </c>
      <c r="V32" s="296">
        <f t="shared" si="29"/>
        <v>173.00000000000003</v>
      </c>
      <c r="W32" s="292"/>
      <c r="X32" s="292"/>
      <c r="Y32" s="292"/>
      <c r="Z32" s="292"/>
      <c r="AA32" s="575"/>
      <c r="AB32" s="575"/>
      <c r="AC32" s="50"/>
      <c r="AD32" s="27"/>
      <c r="AE32" s="20">
        <f t="shared" si="8"/>
        <v>-73.988439306358487</v>
      </c>
      <c r="AF32" s="293">
        <f t="shared" si="9"/>
        <v>0.95375722543352592</v>
      </c>
      <c r="AG32" s="573"/>
    </row>
    <row r="33" spans="1:33">
      <c r="A33" s="593" t="s">
        <v>58</v>
      </c>
      <c r="B33" s="39" t="s">
        <v>94</v>
      </c>
      <c r="C33" s="574" t="s">
        <v>101</v>
      </c>
      <c r="D33" s="574"/>
      <c r="E33" s="39">
        <v>25.98</v>
      </c>
      <c r="F33" s="297">
        <v>2519</v>
      </c>
      <c r="G33" s="292">
        <f t="shared" si="27"/>
        <v>65443.62</v>
      </c>
      <c r="H33" s="48" t="s">
        <v>126</v>
      </c>
      <c r="I33" s="295">
        <v>19</v>
      </c>
      <c r="J33" s="43">
        <v>2400</v>
      </c>
      <c r="K33" s="18">
        <f t="shared" si="1"/>
        <v>126.31578947368421</v>
      </c>
      <c r="L33" s="295">
        <v>19</v>
      </c>
      <c r="M33" s="19">
        <f t="shared" si="28"/>
        <v>2290</v>
      </c>
      <c r="N33" s="18">
        <f t="shared" si="3"/>
        <v>120.52631578947368</v>
      </c>
      <c r="O33" s="20">
        <f t="shared" si="4"/>
        <v>0</v>
      </c>
      <c r="P33" s="21">
        <f t="shared" si="5"/>
        <v>-5.7894736842105203</v>
      </c>
      <c r="Q33" s="293">
        <f t="shared" si="6"/>
        <v>0.95416666666666672</v>
      </c>
      <c r="R33" s="573"/>
      <c r="S33" s="49">
        <v>0.45347222222222217</v>
      </c>
      <c r="T33" s="49">
        <v>0.4993055555555555</v>
      </c>
      <c r="U33" s="292">
        <f t="shared" si="30"/>
        <v>5.9999999999999787</v>
      </c>
      <c r="V33" s="296">
        <f t="shared" si="29"/>
        <v>66</v>
      </c>
      <c r="W33" s="30">
        <f>T33</f>
        <v>0.4993055555555555</v>
      </c>
      <c r="X33" s="30">
        <f>S34</f>
        <v>0.54097222222222219</v>
      </c>
      <c r="Y33" s="25"/>
      <c r="Z33" s="25"/>
      <c r="AA33" s="575"/>
      <c r="AB33" s="575"/>
      <c r="AC33" s="50"/>
      <c r="AD33" s="27"/>
      <c r="AE33" s="20">
        <f t="shared" si="8"/>
        <v>-110</v>
      </c>
      <c r="AF33" s="293">
        <f t="shared" si="9"/>
        <v>0.95416666666666672</v>
      </c>
      <c r="AG33" s="573"/>
    </row>
    <row r="34" spans="1:33">
      <c r="A34" s="593" t="s">
        <v>58</v>
      </c>
      <c r="B34" s="39" t="s">
        <v>94</v>
      </c>
      <c r="C34" s="574" t="s">
        <v>102</v>
      </c>
      <c r="D34" s="574"/>
      <c r="E34" s="39">
        <v>34.1</v>
      </c>
      <c r="F34" s="297">
        <v>1787</v>
      </c>
      <c r="G34" s="292">
        <f t="shared" si="27"/>
        <v>60936.700000000004</v>
      </c>
      <c r="H34" s="48" t="s">
        <v>126</v>
      </c>
      <c r="I34" s="295">
        <v>17</v>
      </c>
      <c r="J34" s="43">
        <v>1600</v>
      </c>
      <c r="K34" s="18">
        <f t="shared" si="1"/>
        <v>94.117647058823536</v>
      </c>
      <c r="L34" s="295">
        <v>17</v>
      </c>
      <c r="M34" s="19">
        <f t="shared" si="28"/>
        <v>1531.7142857142842</v>
      </c>
      <c r="N34" s="18">
        <f t="shared" si="3"/>
        <v>90.100840336134368</v>
      </c>
      <c r="O34" s="20">
        <f t="shared" si="4"/>
        <v>0</v>
      </c>
      <c r="P34" s="21">
        <f t="shared" si="5"/>
        <v>-4.0168067226891679</v>
      </c>
      <c r="Q34" s="293">
        <f t="shared" si="6"/>
        <v>0.95732142857142755</v>
      </c>
      <c r="R34" s="573"/>
      <c r="S34" s="49">
        <v>0.54097222222222219</v>
      </c>
      <c r="T34" s="49">
        <v>0.58958333333333335</v>
      </c>
      <c r="U34" s="292">
        <f t="shared" si="30"/>
        <v>60.000000000000028</v>
      </c>
      <c r="V34" s="296">
        <f t="shared" si="29"/>
        <v>70.000000000000071</v>
      </c>
      <c r="W34" s="25"/>
      <c r="X34" s="25"/>
      <c r="Y34" s="25"/>
      <c r="Z34" s="25"/>
      <c r="AA34" s="575"/>
      <c r="AB34" s="575"/>
      <c r="AC34" s="50"/>
      <c r="AD34" s="27"/>
      <c r="AE34" s="20">
        <f t="shared" si="8"/>
        <v>-68.285714285715812</v>
      </c>
      <c r="AF34" s="293">
        <f t="shared" si="9"/>
        <v>0.95732142857142766</v>
      </c>
      <c r="AG34" s="573"/>
    </row>
    <row r="35" spans="1:33">
      <c r="A35" s="593" t="s">
        <v>58</v>
      </c>
      <c r="B35" s="42" t="s">
        <v>46</v>
      </c>
      <c r="C35" s="576"/>
      <c r="D35" s="576"/>
      <c r="E35" s="294"/>
      <c r="F35" s="42"/>
      <c r="G35" s="18"/>
      <c r="H35" s="297"/>
      <c r="I35" s="32">
        <v>17.600000000000001</v>
      </c>
      <c r="J35" s="43">
        <v>2080</v>
      </c>
      <c r="K35" s="18">
        <f t="shared" si="1"/>
        <v>118.18181818181817</v>
      </c>
      <c r="L35" s="32">
        <v>17.600000000000001</v>
      </c>
      <c r="M35" s="19">
        <f>AVERAGE(M30:M34)</f>
        <v>1986.5856950209061</v>
      </c>
      <c r="N35" s="18">
        <f t="shared" si="3"/>
        <v>112.87418721709693</v>
      </c>
      <c r="O35" s="20">
        <f t="shared" si="4"/>
        <v>0</v>
      </c>
      <c r="P35" s="21">
        <f t="shared" si="5"/>
        <v>-5.3076309647212412</v>
      </c>
      <c r="Q35" s="293">
        <f t="shared" si="6"/>
        <v>0.95508927645235875</v>
      </c>
      <c r="R35" s="573"/>
      <c r="S35" s="49"/>
      <c r="T35" s="49"/>
      <c r="U35" s="18"/>
      <c r="V35" s="296"/>
      <c r="W35" s="18"/>
      <c r="X35" s="18"/>
      <c r="Y35" s="33">
        <f>SUM(Y30:Y34)</f>
        <v>0</v>
      </c>
      <c r="Z35" s="33">
        <f>SUM(Z30:Z34)</f>
        <v>0</v>
      </c>
      <c r="AA35" s="572"/>
      <c r="AB35" s="572"/>
      <c r="AC35" s="33">
        <v>5</v>
      </c>
      <c r="AD35" s="33">
        <f>SUM(AD30:AD34)</f>
        <v>0</v>
      </c>
      <c r="AE35" s="20">
        <f t="shared" si="8"/>
        <v>-93.414304979093913</v>
      </c>
      <c r="AF35" s="293">
        <f t="shared" si="9"/>
        <v>0.95508927645235875</v>
      </c>
      <c r="AG35" s="573"/>
    </row>
    <row r="36" spans="1:33" ht="15.75" customHeight="1">
      <c r="A36" s="589" t="s">
        <v>1730</v>
      </c>
      <c r="B36" s="39" t="s">
        <v>104</v>
      </c>
      <c r="C36" s="566" t="s">
        <v>105</v>
      </c>
      <c r="D36" s="567"/>
      <c r="E36" s="39">
        <v>37.880000000000003</v>
      </c>
      <c r="F36" s="297">
        <v>1758</v>
      </c>
      <c r="G36" s="292">
        <f t="shared" ref="G36:G39" si="31">E36*F36</f>
        <v>66593.040000000008</v>
      </c>
      <c r="H36" s="48" t="s">
        <v>126</v>
      </c>
      <c r="I36" s="295">
        <v>13</v>
      </c>
      <c r="J36" s="43">
        <v>2000</v>
      </c>
      <c r="K36" s="18">
        <f t="shared" si="1"/>
        <v>153.84615384615384</v>
      </c>
      <c r="L36" s="295">
        <v>13</v>
      </c>
      <c r="M36" s="19">
        <f t="shared" ref="M36:M39" si="32">F36/V36*60</f>
        <v>1917.8181818181822</v>
      </c>
      <c r="N36" s="19">
        <f t="shared" si="3"/>
        <v>147.52447552447555</v>
      </c>
      <c r="O36" s="20">
        <f t="shared" si="4"/>
        <v>0</v>
      </c>
      <c r="P36" s="21">
        <f t="shared" si="5"/>
        <v>-6.3216783216782915</v>
      </c>
      <c r="Q36" s="293">
        <f t="shared" si="6"/>
        <v>0.95890909090909116</v>
      </c>
      <c r="R36" s="584">
        <f>Q40</f>
        <v>0.9535692027334417</v>
      </c>
      <c r="S36" s="49">
        <v>8.3333333333333329E-2</v>
      </c>
      <c r="T36" s="49">
        <v>0.12152777777777776</v>
      </c>
      <c r="U36" s="30"/>
      <c r="V36" s="296">
        <f t="shared" ref="V36:V39" si="33">(T36-S36)*24*60</f>
        <v>54.999999999999986</v>
      </c>
      <c r="W36" s="25">
        <f>T36</f>
        <v>0.12152777777777776</v>
      </c>
      <c r="X36" s="25">
        <f>S37</f>
        <v>0.14027777777777778</v>
      </c>
      <c r="Y36" s="28"/>
      <c r="Z36" s="28"/>
      <c r="AA36" s="568"/>
      <c r="AB36" s="569"/>
      <c r="AC36" s="50">
        <v>4</v>
      </c>
      <c r="AD36" s="27"/>
      <c r="AE36" s="20">
        <f t="shared" si="8"/>
        <v>-82.181818181817789</v>
      </c>
      <c r="AF36" s="293">
        <f t="shared" si="9"/>
        <v>0.95890909090909116</v>
      </c>
      <c r="AG36" s="584">
        <f>AF40</f>
        <v>0.9535692027334417</v>
      </c>
    </row>
    <row r="37" spans="1:33" ht="15.75" customHeight="1">
      <c r="A37" s="590" t="s">
        <v>1730</v>
      </c>
      <c r="B37" s="39" t="s">
        <v>104</v>
      </c>
      <c r="C37" s="566" t="s">
        <v>106</v>
      </c>
      <c r="D37" s="567"/>
      <c r="E37" s="39">
        <v>35.119999999999997</v>
      </c>
      <c r="F37" s="297">
        <v>4896</v>
      </c>
      <c r="G37" s="292">
        <f t="shared" si="31"/>
        <v>171947.51999999999</v>
      </c>
      <c r="H37" s="48" t="s">
        <v>126</v>
      </c>
      <c r="I37" s="295">
        <v>10</v>
      </c>
      <c r="J37" s="43">
        <v>3000</v>
      </c>
      <c r="K37" s="18">
        <f t="shared" si="1"/>
        <v>300</v>
      </c>
      <c r="L37" s="295">
        <v>10</v>
      </c>
      <c r="M37" s="19">
        <f t="shared" si="32"/>
        <v>2852.0388349514565</v>
      </c>
      <c r="N37" s="19">
        <f t="shared" si="3"/>
        <v>285.20388349514565</v>
      </c>
      <c r="O37" s="20">
        <f t="shared" si="4"/>
        <v>0</v>
      </c>
      <c r="P37" s="21">
        <f t="shared" si="5"/>
        <v>-14.796116504854353</v>
      </c>
      <c r="Q37" s="293">
        <f t="shared" si="6"/>
        <v>0.95067961165048553</v>
      </c>
      <c r="R37" s="585"/>
      <c r="S37" s="49">
        <v>0.14027777777777778</v>
      </c>
      <c r="T37" s="49">
        <v>0.21180555555555555</v>
      </c>
      <c r="U37" s="292">
        <f t="shared" ref="U37:U39" si="34">(S37-T36)*24*60</f>
        <v>27.000000000000025</v>
      </c>
      <c r="V37" s="296">
        <f t="shared" si="33"/>
        <v>103</v>
      </c>
      <c r="W37" s="25"/>
      <c r="X37" s="25"/>
      <c r="Y37" s="28"/>
      <c r="Z37" s="28"/>
      <c r="AA37" s="568"/>
      <c r="AB37" s="569"/>
      <c r="AC37" s="50"/>
      <c r="AD37" s="27"/>
      <c r="AE37" s="20">
        <f t="shared" si="8"/>
        <v>-147.96116504854353</v>
      </c>
      <c r="AF37" s="293">
        <f t="shared" si="9"/>
        <v>0.95067961165048553</v>
      </c>
      <c r="AG37" s="585"/>
    </row>
    <row r="38" spans="1:33" ht="15.75" customHeight="1">
      <c r="A38" s="590" t="s">
        <v>1730</v>
      </c>
      <c r="B38" s="39" t="s">
        <v>104</v>
      </c>
      <c r="C38" s="566" t="s">
        <v>107</v>
      </c>
      <c r="D38" s="567"/>
      <c r="E38" s="39">
        <v>21.13</v>
      </c>
      <c r="F38" s="297">
        <v>4678</v>
      </c>
      <c r="G38" s="292">
        <f t="shared" si="31"/>
        <v>98846.14</v>
      </c>
      <c r="H38" s="48" t="s">
        <v>126</v>
      </c>
      <c r="I38" s="295">
        <v>10</v>
      </c>
      <c r="J38" s="43">
        <v>3000</v>
      </c>
      <c r="K38" s="18">
        <f t="shared" si="1"/>
        <v>300</v>
      </c>
      <c r="L38" s="295">
        <v>10</v>
      </c>
      <c r="M38" s="19">
        <f t="shared" si="32"/>
        <v>2864.0816326530617</v>
      </c>
      <c r="N38" s="19">
        <f t="shared" si="3"/>
        <v>286.40816326530614</v>
      </c>
      <c r="O38" s="20">
        <f t="shared" si="4"/>
        <v>0</v>
      </c>
      <c r="P38" s="21">
        <f t="shared" si="5"/>
        <v>-13.591836734693857</v>
      </c>
      <c r="Q38" s="293">
        <f t="shared" si="6"/>
        <v>0.95469387755102053</v>
      </c>
      <c r="R38" s="585"/>
      <c r="S38" s="49">
        <v>0.21736111111111112</v>
      </c>
      <c r="T38" s="49">
        <v>0.28541666666666665</v>
      </c>
      <c r="U38" s="292">
        <f t="shared" si="34"/>
        <v>8.0000000000000107</v>
      </c>
      <c r="V38" s="296">
        <f t="shared" si="33"/>
        <v>97.999999999999972</v>
      </c>
      <c r="W38" s="25"/>
      <c r="X38" s="25"/>
      <c r="Y38" s="28"/>
      <c r="Z38" s="28"/>
      <c r="AA38" s="568"/>
      <c r="AB38" s="569"/>
      <c r="AC38" s="50"/>
      <c r="AD38" s="27"/>
      <c r="AE38" s="20">
        <f t="shared" si="8"/>
        <v>-135.91836734693834</v>
      </c>
      <c r="AF38" s="293">
        <f t="shared" si="9"/>
        <v>0.95469387755102053</v>
      </c>
      <c r="AG38" s="585"/>
    </row>
    <row r="39" spans="1:33" ht="15.75" customHeight="1">
      <c r="A39" s="590" t="s">
        <v>1730</v>
      </c>
      <c r="B39" s="39" t="s">
        <v>104</v>
      </c>
      <c r="C39" s="566" t="s">
        <v>108</v>
      </c>
      <c r="D39" s="567"/>
      <c r="E39" s="39">
        <v>27.17</v>
      </c>
      <c r="F39" s="297">
        <v>5901</v>
      </c>
      <c r="G39" s="292">
        <f t="shared" si="31"/>
        <v>160330.17000000001</v>
      </c>
      <c r="H39" s="48" t="s">
        <v>126</v>
      </c>
      <c r="I39" s="295">
        <v>10</v>
      </c>
      <c r="J39" s="43">
        <v>3000</v>
      </c>
      <c r="K39" s="18">
        <f t="shared" si="1"/>
        <v>300</v>
      </c>
      <c r="L39" s="295">
        <v>10</v>
      </c>
      <c r="M39" s="19">
        <f t="shared" si="32"/>
        <v>2855.3225806451601</v>
      </c>
      <c r="N39" s="19">
        <f t="shared" si="3"/>
        <v>285.53225806451599</v>
      </c>
      <c r="O39" s="20">
        <f t="shared" si="4"/>
        <v>0</v>
      </c>
      <c r="P39" s="21">
        <f t="shared" si="5"/>
        <v>-14.467741935484014</v>
      </c>
      <c r="Q39" s="293">
        <f t="shared" si="6"/>
        <v>0.95177419354838666</v>
      </c>
      <c r="R39" s="585"/>
      <c r="S39" s="49">
        <v>0.29027777777777775</v>
      </c>
      <c r="T39" s="49">
        <v>0.37638888888888888</v>
      </c>
      <c r="U39" s="292">
        <f t="shared" si="34"/>
        <v>6.9999999999999751</v>
      </c>
      <c r="V39" s="296">
        <f t="shared" si="33"/>
        <v>124.00000000000004</v>
      </c>
      <c r="W39" s="25"/>
      <c r="X39" s="25"/>
      <c r="Y39" s="28"/>
      <c r="Z39" s="28"/>
      <c r="AA39" s="568"/>
      <c r="AB39" s="569"/>
      <c r="AC39" s="50"/>
      <c r="AD39" s="27"/>
      <c r="AE39" s="20">
        <f t="shared" si="8"/>
        <v>-144.67741935483991</v>
      </c>
      <c r="AF39" s="293">
        <f t="shared" si="9"/>
        <v>0.95177419354838666</v>
      </c>
      <c r="AG39" s="585"/>
    </row>
    <row r="40" spans="1:33" ht="15.75" customHeight="1">
      <c r="A40" s="591" t="s">
        <v>1730</v>
      </c>
      <c r="B40" s="39" t="s">
        <v>1724</v>
      </c>
      <c r="C40" s="570"/>
      <c r="D40" s="571"/>
      <c r="E40" s="290"/>
      <c r="F40" s="297"/>
      <c r="G40" s="292"/>
      <c r="H40" s="297"/>
      <c r="I40" s="32">
        <v>10.75</v>
      </c>
      <c r="J40" s="43">
        <v>2750</v>
      </c>
      <c r="K40" s="18">
        <f t="shared" si="1"/>
        <v>255.81395348837211</v>
      </c>
      <c r="L40" s="32">
        <v>10.75</v>
      </c>
      <c r="M40" s="19">
        <f>AVERAGE(M36:M39)</f>
        <v>2622.3153075169648</v>
      </c>
      <c r="N40" s="18">
        <f t="shared" si="3"/>
        <v>243.93630767599672</v>
      </c>
      <c r="O40" s="20">
        <f t="shared" si="4"/>
        <v>0</v>
      </c>
      <c r="P40" s="21">
        <f t="shared" si="5"/>
        <v>-11.877645812375391</v>
      </c>
      <c r="Q40" s="293">
        <f t="shared" si="6"/>
        <v>0.9535692027334417</v>
      </c>
      <c r="R40" s="586"/>
      <c r="S40" s="49"/>
      <c r="T40" s="49"/>
      <c r="U40" s="292"/>
      <c r="V40" s="296"/>
      <c r="W40" s="25"/>
      <c r="X40" s="25"/>
      <c r="Y40" s="33">
        <f>SUM(Y36:Y39)</f>
        <v>0</v>
      </c>
      <c r="Z40" s="33">
        <f>SUM(Z36:Z39)</f>
        <v>0</v>
      </c>
      <c r="AA40" s="587"/>
      <c r="AB40" s="588"/>
      <c r="AC40" s="33">
        <v>4</v>
      </c>
      <c r="AD40" s="33">
        <f>SUM(AD36:AD39)</f>
        <v>0</v>
      </c>
      <c r="AE40" s="20">
        <f t="shared" si="8"/>
        <v>-127.68469248303518</v>
      </c>
      <c r="AF40" s="293">
        <f t="shared" si="9"/>
        <v>0.9535692027334417</v>
      </c>
      <c r="AG40" s="586"/>
    </row>
    <row r="41" spans="1:33" ht="15.75" customHeight="1">
      <c r="A41" s="582" t="s">
        <v>1731</v>
      </c>
      <c r="B41" s="39" t="s">
        <v>79</v>
      </c>
      <c r="C41" s="574" t="s">
        <v>109</v>
      </c>
      <c r="D41" s="574"/>
      <c r="E41" s="39">
        <v>46</v>
      </c>
      <c r="F41" s="45">
        <v>2227</v>
      </c>
      <c r="G41" s="292">
        <f t="shared" ref="G41:G47" si="35">E41*F41</f>
        <v>102442</v>
      </c>
      <c r="H41" s="48" t="s">
        <v>126</v>
      </c>
      <c r="I41" s="295">
        <v>16</v>
      </c>
      <c r="J41" s="43">
        <v>2000</v>
      </c>
      <c r="K41" s="18">
        <f t="shared" si="1"/>
        <v>125</v>
      </c>
      <c r="L41" s="295">
        <v>16</v>
      </c>
      <c r="M41" s="19">
        <f t="shared" ref="M41" si="36">F41/V41*60</f>
        <v>1908.8571428571422</v>
      </c>
      <c r="N41" s="19">
        <f t="shared" si="3"/>
        <v>119.30357142857139</v>
      </c>
      <c r="O41" s="20">
        <f t="shared" si="4"/>
        <v>0</v>
      </c>
      <c r="P41" s="21">
        <f t="shared" si="5"/>
        <v>-5.696428571428612</v>
      </c>
      <c r="Q41" s="293">
        <f t="shared" si="6"/>
        <v>0.95442857142857107</v>
      </c>
      <c r="R41" s="573">
        <f>Q48</f>
        <v>0.96231294997553374</v>
      </c>
      <c r="S41" s="49">
        <v>0.20833333333333334</v>
      </c>
      <c r="T41" s="49">
        <v>0.25694444444444448</v>
      </c>
      <c r="U41" s="30"/>
      <c r="V41" s="296">
        <f t="shared" ref="V41:V47" si="37">(T41-S41)*24*60</f>
        <v>70.000000000000028</v>
      </c>
      <c r="W41" s="30"/>
      <c r="X41" s="30"/>
      <c r="Y41" s="30"/>
      <c r="Z41" s="30"/>
      <c r="AA41" s="575"/>
      <c r="AB41" s="575"/>
      <c r="AC41" s="50">
        <v>7</v>
      </c>
      <c r="AD41" s="27"/>
      <c r="AE41" s="20">
        <f t="shared" si="8"/>
        <v>-91.142857142857792</v>
      </c>
      <c r="AF41" s="293">
        <f t="shared" si="9"/>
        <v>0.95442857142857107</v>
      </c>
      <c r="AG41" s="573">
        <f>AF48</f>
        <v>0.96231294997553385</v>
      </c>
    </row>
    <row r="42" spans="1:33" ht="15.75" customHeight="1">
      <c r="A42" s="582" t="s">
        <v>1731</v>
      </c>
      <c r="B42" s="39" t="s">
        <v>74</v>
      </c>
      <c r="C42" s="574" t="s">
        <v>110</v>
      </c>
      <c r="D42" s="574"/>
      <c r="E42" s="39">
        <v>56.43</v>
      </c>
      <c r="F42" s="45">
        <v>1421</v>
      </c>
      <c r="G42" s="292">
        <f t="shared" si="35"/>
        <v>80187.03</v>
      </c>
      <c r="H42" s="48" t="s">
        <v>126</v>
      </c>
      <c r="I42" s="295">
        <v>22</v>
      </c>
      <c r="J42" s="43">
        <v>2000</v>
      </c>
      <c r="K42" s="18">
        <f t="shared" si="1"/>
        <v>90.909090909090907</v>
      </c>
      <c r="L42" s="295">
        <v>22</v>
      </c>
      <c r="M42" s="19">
        <f>F42/V42*60</f>
        <v>1937.7272727272727</v>
      </c>
      <c r="N42" s="19">
        <f t="shared" si="3"/>
        <v>88.078512396694222</v>
      </c>
      <c r="O42" s="20">
        <f t="shared" si="4"/>
        <v>0</v>
      </c>
      <c r="P42" s="21">
        <f t="shared" si="5"/>
        <v>-2.8305785123966842</v>
      </c>
      <c r="Q42" s="293">
        <f t="shared" si="6"/>
        <v>0.96886363636363648</v>
      </c>
      <c r="R42" s="573"/>
      <c r="S42" s="49">
        <v>0.26250000000000001</v>
      </c>
      <c r="T42" s="49">
        <v>0.29305555555555557</v>
      </c>
      <c r="U42" s="292">
        <f t="shared" ref="U42:U47" si="38">IF(S42=TIME(17,0,0),"",(S42-T41)*24*60)</f>
        <v>7.9999999999999716</v>
      </c>
      <c r="V42" s="296">
        <f t="shared" si="37"/>
        <v>44</v>
      </c>
      <c r="W42" s="25"/>
      <c r="X42" s="25"/>
      <c r="Y42" s="25"/>
      <c r="Z42" s="25"/>
      <c r="AA42" s="575"/>
      <c r="AB42" s="575"/>
      <c r="AC42" s="50"/>
      <c r="AD42" s="27"/>
      <c r="AE42" s="20">
        <f t="shared" si="8"/>
        <v>-62.272727272727252</v>
      </c>
      <c r="AF42" s="293">
        <f t="shared" si="9"/>
        <v>0.96886363636363637</v>
      </c>
      <c r="AG42" s="573"/>
    </row>
    <row r="43" spans="1:33" ht="15.75" customHeight="1">
      <c r="A43" s="582" t="s">
        <v>1732</v>
      </c>
      <c r="B43" s="39" t="s">
        <v>74</v>
      </c>
      <c r="C43" s="566" t="s">
        <v>111</v>
      </c>
      <c r="D43" s="567"/>
      <c r="E43" s="39">
        <v>51.75</v>
      </c>
      <c r="F43" s="45">
        <v>908</v>
      </c>
      <c r="G43" s="292">
        <f t="shared" si="35"/>
        <v>46989</v>
      </c>
      <c r="H43" s="48" t="s">
        <v>126</v>
      </c>
      <c r="I43" s="295">
        <v>25</v>
      </c>
      <c r="J43" s="43">
        <v>2000</v>
      </c>
      <c r="K43" s="18">
        <f t="shared" si="1"/>
        <v>80</v>
      </c>
      <c r="L43" s="295">
        <v>25</v>
      </c>
      <c r="M43" s="19">
        <f t="shared" ref="M43:M47" si="39">F43/V43*60</f>
        <v>1945.7142857142871</v>
      </c>
      <c r="N43" s="19">
        <f t="shared" si="3"/>
        <v>77.828571428571479</v>
      </c>
      <c r="O43" s="20">
        <f t="shared" si="4"/>
        <v>0</v>
      </c>
      <c r="P43" s="21">
        <f t="shared" si="5"/>
        <v>-2.1714285714285211</v>
      </c>
      <c r="Q43" s="293">
        <f t="shared" si="6"/>
        <v>0.97285714285714353</v>
      </c>
      <c r="R43" s="573"/>
      <c r="S43" s="49">
        <v>0.29722222222222222</v>
      </c>
      <c r="T43" s="49">
        <v>0.31666666666666665</v>
      </c>
      <c r="U43" s="292">
        <f t="shared" si="38"/>
        <v>5.9999999999999787</v>
      </c>
      <c r="V43" s="296">
        <f t="shared" si="37"/>
        <v>27.999999999999979</v>
      </c>
      <c r="W43" s="25"/>
      <c r="X43" s="25"/>
      <c r="Y43" s="28"/>
      <c r="Z43" s="28"/>
      <c r="AA43" s="575"/>
      <c r="AB43" s="575"/>
      <c r="AC43" s="50"/>
      <c r="AD43" s="27"/>
      <c r="AE43" s="20">
        <f t="shared" si="8"/>
        <v>-54.285714285712857</v>
      </c>
      <c r="AF43" s="293">
        <f t="shared" si="9"/>
        <v>0.97285714285714353</v>
      </c>
      <c r="AG43" s="573"/>
    </row>
    <row r="44" spans="1:33" ht="15.75" customHeight="1">
      <c r="A44" s="582" t="s">
        <v>1731</v>
      </c>
      <c r="B44" s="39" t="s">
        <v>74</v>
      </c>
      <c r="C44" s="287" t="s">
        <v>88</v>
      </c>
      <c r="D44" s="288"/>
      <c r="E44" s="39">
        <v>59.04</v>
      </c>
      <c r="F44" s="45">
        <v>3774</v>
      </c>
      <c r="G44" s="292">
        <f t="shared" si="35"/>
        <v>222816.96</v>
      </c>
      <c r="H44" s="48" t="s">
        <v>126</v>
      </c>
      <c r="I44" s="295">
        <v>19</v>
      </c>
      <c r="J44" s="43">
        <v>2000</v>
      </c>
      <c r="K44" s="18">
        <f t="shared" si="1"/>
        <v>105.26315789473684</v>
      </c>
      <c r="L44" s="295">
        <v>19</v>
      </c>
      <c r="M44" s="19">
        <f t="shared" si="39"/>
        <v>1918.9830508474579</v>
      </c>
      <c r="N44" s="19">
        <f t="shared" si="3"/>
        <v>100.99910793933989</v>
      </c>
      <c r="O44" s="20">
        <f t="shared" si="4"/>
        <v>0</v>
      </c>
      <c r="P44" s="21">
        <f t="shared" si="5"/>
        <v>-4.264049955396942</v>
      </c>
      <c r="Q44" s="293">
        <f t="shared" si="6"/>
        <v>0.95949152542372906</v>
      </c>
      <c r="R44" s="573"/>
      <c r="S44" s="49">
        <v>0.32013888888888886</v>
      </c>
      <c r="T44" s="49">
        <v>0.40208333333333329</v>
      </c>
      <c r="U44" s="292">
        <f t="shared" si="38"/>
        <v>4.9999999999999822</v>
      </c>
      <c r="V44" s="296">
        <f t="shared" si="37"/>
        <v>117.99999999999999</v>
      </c>
      <c r="W44" s="25"/>
      <c r="X44" s="25"/>
      <c r="Y44" s="28"/>
      <c r="Z44" s="28"/>
      <c r="AA44" s="575"/>
      <c r="AB44" s="575"/>
      <c r="AC44" s="50"/>
      <c r="AD44" s="27"/>
      <c r="AE44" s="20">
        <f t="shared" si="8"/>
        <v>-81.016949152542111</v>
      </c>
      <c r="AF44" s="293">
        <f t="shared" si="9"/>
        <v>0.95949152542372895</v>
      </c>
      <c r="AG44" s="573"/>
    </row>
    <row r="45" spans="1:33" ht="15.75" customHeight="1">
      <c r="A45" s="582" t="s">
        <v>1732</v>
      </c>
      <c r="B45" s="39" t="s">
        <v>79</v>
      </c>
      <c r="C45" s="287" t="s">
        <v>1233</v>
      </c>
      <c r="D45" s="288"/>
      <c r="E45" s="39">
        <v>46</v>
      </c>
      <c r="F45" s="45">
        <v>4149</v>
      </c>
      <c r="G45" s="292">
        <f t="shared" si="35"/>
        <v>190854</v>
      </c>
      <c r="H45" s="48" t="s">
        <v>126</v>
      </c>
      <c r="I45" s="295">
        <v>16</v>
      </c>
      <c r="J45" s="43">
        <v>2000</v>
      </c>
      <c r="K45" s="18">
        <f t="shared" si="1"/>
        <v>125</v>
      </c>
      <c r="L45" s="295">
        <v>16</v>
      </c>
      <c r="M45" s="19">
        <f t="shared" si="39"/>
        <v>1914.9230769230765</v>
      </c>
      <c r="N45" s="19">
        <f t="shared" si="3"/>
        <v>119.68269230769228</v>
      </c>
      <c r="O45" s="20">
        <f t="shared" si="4"/>
        <v>0</v>
      </c>
      <c r="P45" s="21">
        <f t="shared" si="5"/>
        <v>-5.3173076923077218</v>
      </c>
      <c r="Q45" s="293">
        <f t="shared" si="6"/>
        <v>0.95746153846153825</v>
      </c>
      <c r="R45" s="573"/>
      <c r="S45" s="49">
        <v>0.40763888888888883</v>
      </c>
      <c r="T45" s="49">
        <v>0.49791666666666662</v>
      </c>
      <c r="U45" s="292">
        <f t="shared" si="38"/>
        <v>7.9999999999999716</v>
      </c>
      <c r="V45" s="296">
        <f t="shared" si="37"/>
        <v>130.00000000000003</v>
      </c>
      <c r="W45" s="25"/>
      <c r="X45" s="25"/>
      <c r="Y45" s="28"/>
      <c r="Z45" s="28"/>
      <c r="AA45" s="575"/>
      <c r="AB45" s="575"/>
      <c r="AC45" s="50"/>
      <c r="AD45" s="27"/>
      <c r="AE45" s="20">
        <f t="shared" si="8"/>
        <v>-85.076923076923549</v>
      </c>
      <c r="AF45" s="293">
        <f t="shared" si="9"/>
        <v>0.95746153846153825</v>
      </c>
      <c r="AG45" s="573"/>
    </row>
    <row r="46" spans="1:33" ht="15.75" customHeight="1">
      <c r="A46" s="582" t="s">
        <v>1731</v>
      </c>
      <c r="B46" s="39" t="s">
        <v>74</v>
      </c>
      <c r="C46" s="566" t="s">
        <v>113</v>
      </c>
      <c r="D46" s="567"/>
      <c r="E46" s="39">
        <v>55.56</v>
      </c>
      <c r="F46" s="45">
        <v>2166</v>
      </c>
      <c r="G46" s="292">
        <f t="shared" si="35"/>
        <v>120342.96</v>
      </c>
      <c r="H46" s="48" t="s">
        <v>126</v>
      </c>
      <c r="I46" s="295">
        <v>17</v>
      </c>
      <c r="J46" s="43">
        <v>2000</v>
      </c>
      <c r="K46" s="18">
        <f t="shared" si="1"/>
        <v>117.64705882352941</v>
      </c>
      <c r="L46" s="295">
        <v>17</v>
      </c>
      <c r="M46" s="19">
        <f t="shared" si="39"/>
        <v>1911.1764705882379</v>
      </c>
      <c r="N46" s="19">
        <f t="shared" si="3"/>
        <v>112.42214532871988</v>
      </c>
      <c r="O46" s="20">
        <f t="shared" si="4"/>
        <v>0</v>
      </c>
      <c r="P46" s="21">
        <f t="shared" si="5"/>
        <v>-5.2249134948095275</v>
      </c>
      <c r="Q46" s="293">
        <f t="shared" si="6"/>
        <v>0.95558823529411896</v>
      </c>
      <c r="R46" s="573"/>
      <c r="S46" s="49">
        <v>0.70833333333333337</v>
      </c>
      <c r="T46" s="49">
        <v>0.75555555555555554</v>
      </c>
      <c r="U46" s="292" t="str">
        <f t="shared" si="38"/>
        <v/>
      </c>
      <c r="V46" s="296">
        <f t="shared" si="37"/>
        <v>67.999999999999915</v>
      </c>
      <c r="W46" s="25"/>
      <c r="X46" s="25"/>
      <c r="Y46" s="28"/>
      <c r="Z46" s="28"/>
      <c r="AA46" s="568"/>
      <c r="AB46" s="569"/>
      <c r="AC46" s="50"/>
      <c r="AD46" s="27"/>
      <c r="AE46" s="20">
        <f t="shared" si="8"/>
        <v>-88.823529411762138</v>
      </c>
      <c r="AF46" s="293">
        <f t="shared" si="9"/>
        <v>0.95558823529411896</v>
      </c>
      <c r="AG46" s="573"/>
    </row>
    <row r="47" spans="1:33" ht="15.75" customHeight="1">
      <c r="A47" s="582" t="s">
        <v>1733</v>
      </c>
      <c r="B47" s="39" t="s">
        <v>74</v>
      </c>
      <c r="C47" s="566" t="s">
        <v>114</v>
      </c>
      <c r="D47" s="567"/>
      <c r="E47" s="39">
        <v>54.29</v>
      </c>
      <c r="F47" s="45">
        <v>1032</v>
      </c>
      <c r="G47" s="292">
        <f t="shared" si="35"/>
        <v>56027.28</v>
      </c>
      <c r="H47" s="48" t="s">
        <v>126</v>
      </c>
      <c r="I47" s="295">
        <v>20</v>
      </c>
      <c r="J47" s="43">
        <v>2000</v>
      </c>
      <c r="K47" s="18">
        <f t="shared" si="1"/>
        <v>100</v>
      </c>
      <c r="L47" s="295">
        <v>20</v>
      </c>
      <c r="M47" s="19">
        <f t="shared" si="39"/>
        <v>1934.9999999999975</v>
      </c>
      <c r="N47" s="19">
        <f t="shared" si="3"/>
        <v>96.749999999999872</v>
      </c>
      <c r="O47" s="20">
        <f t="shared" si="4"/>
        <v>0</v>
      </c>
      <c r="P47" s="21">
        <f t="shared" si="5"/>
        <v>-3.2500000000001279</v>
      </c>
      <c r="Q47" s="293">
        <f t="shared" si="6"/>
        <v>0.96749999999999869</v>
      </c>
      <c r="R47" s="573"/>
      <c r="S47" s="49">
        <v>0.75902777777777775</v>
      </c>
      <c r="T47" s="49">
        <v>0.78125</v>
      </c>
      <c r="U47" s="292">
        <f t="shared" si="38"/>
        <v>4.9999999999999822</v>
      </c>
      <c r="V47" s="296">
        <f t="shared" si="37"/>
        <v>32.000000000000043</v>
      </c>
      <c r="W47" s="25"/>
      <c r="X47" s="25"/>
      <c r="Y47" s="28"/>
      <c r="Z47" s="28"/>
      <c r="AA47" s="568"/>
      <c r="AB47" s="569"/>
      <c r="AC47" s="50"/>
      <c r="AD47" s="27"/>
      <c r="AE47" s="20">
        <f t="shared" si="8"/>
        <v>-65.000000000002501</v>
      </c>
      <c r="AF47" s="293">
        <f t="shared" si="9"/>
        <v>0.96749999999999869</v>
      </c>
      <c r="AG47" s="573"/>
    </row>
    <row r="48" spans="1:33">
      <c r="A48" s="583" t="s">
        <v>1731</v>
      </c>
      <c r="B48" s="39" t="s">
        <v>1727</v>
      </c>
      <c r="C48" s="576"/>
      <c r="D48" s="576"/>
      <c r="E48" s="294"/>
      <c r="F48" s="42"/>
      <c r="G48" s="18"/>
      <c r="H48" s="297"/>
      <c r="I48" s="32">
        <v>19.285714285714285</v>
      </c>
      <c r="J48" s="43">
        <v>2000</v>
      </c>
      <c r="K48" s="18">
        <f t="shared" si="1"/>
        <v>103.70370370370371</v>
      </c>
      <c r="L48" s="32">
        <v>19.285714285714285</v>
      </c>
      <c r="M48" s="19">
        <f>AVERAGE(M41:M47)</f>
        <v>1924.6258999510676</v>
      </c>
      <c r="N48" s="18">
        <f t="shared" si="3"/>
        <v>99.795417034499806</v>
      </c>
      <c r="O48" s="20">
        <f t="shared" si="4"/>
        <v>0</v>
      </c>
      <c r="P48" s="21">
        <f t="shared" si="5"/>
        <v>-3.9082866692039033</v>
      </c>
      <c r="Q48" s="293">
        <f t="shared" si="6"/>
        <v>0.96231294997553374</v>
      </c>
      <c r="R48" s="573"/>
      <c r="S48" s="49"/>
      <c r="T48" s="49"/>
      <c r="U48" s="292"/>
      <c r="V48" s="296"/>
      <c r="W48" s="18"/>
      <c r="X48" s="18"/>
      <c r="Y48" s="33">
        <f>SUM(Y41:Y47)</f>
        <v>0</v>
      </c>
      <c r="Z48" s="33">
        <f>SUM(Z41:Z47)</f>
        <v>0</v>
      </c>
      <c r="AA48" s="572"/>
      <c r="AB48" s="572"/>
      <c r="AC48" s="33">
        <v>7</v>
      </c>
      <c r="AD48" s="33">
        <f>SUM(AD41:AD47)</f>
        <v>0</v>
      </c>
      <c r="AE48" s="20">
        <f>M48-J48</f>
        <v>-75.374100048932405</v>
      </c>
      <c r="AF48" s="293">
        <f t="shared" si="9"/>
        <v>0.96231294997553385</v>
      </c>
      <c r="AG48" s="573"/>
    </row>
    <row r="49" spans="1:33" ht="15.75" customHeight="1">
      <c r="A49" s="580" t="s">
        <v>66</v>
      </c>
      <c r="B49" s="297" t="s">
        <v>104</v>
      </c>
      <c r="C49" s="574" t="s">
        <v>115</v>
      </c>
      <c r="D49" s="574"/>
      <c r="E49" s="39">
        <v>34.36</v>
      </c>
      <c r="F49" s="45">
        <v>2207</v>
      </c>
      <c r="G49" s="292">
        <f t="shared" ref="G49:G54" si="40">E49*F49</f>
        <v>75832.52</v>
      </c>
      <c r="H49" s="48" t="s">
        <v>126</v>
      </c>
      <c r="I49" s="295">
        <v>10</v>
      </c>
      <c r="J49" s="43">
        <v>3000</v>
      </c>
      <c r="K49" s="18">
        <f t="shared" si="1"/>
        <v>300</v>
      </c>
      <c r="L49" s="295">
        <v>10</v>
      </c>
      <c r="M49" s="19">
        <f t="shared" ref="M49:M54" si="41">F49/V49*60</f>
        <v>2878.695652173913</v>
      </c>
      <c r="N49" s="18">
        <f t="shared" si="3"/>
        <v>287.86956521739131</v>
      </c>
      <c r="O49" s="20">
        <f t="shared" si="4"/>
        <v>0</v>
      </c>
      <c r="P49" s="21">
        <f t="shared" si="5"/>
        <v>-12.130434782608688</v>
      </c>
      <c r="Q49" s="293">
        <f t="shared" si="6"/>
        <v>0.9595652173913044</v>
      </c>
      <c r="R49" s="573">
        <f>Q55</f>
        <v>0.96983052213487042</v>
      </c>
      <c r="S49" s="49">
        <v>0.20833333333333334</v>
      </c>
      <c r="T49" s="49">
        <v>0.24027777777777778</v>
      </c>
      <c r="U49" s="292"/>
      <c r="V49" s="296">
        <f t="shared" ref="V49:V54" si="42">(T49-S49)*24*60</f>
        <v>46</v>
      </c>
      <c r="W49" s="30"/>
      <c r="X49" s="30"/>
      <c r="Y49" s="30"/>
      <c r="Z49" s="30"/>
      <c r="AA49" s="575"/>
      <c r="AB49" s="575"/>
      <c r="AC49" s="50">
        <v>6</v>
      </c>
      <c r="AD49" s="27"/>
      <c r="AE49" s="20">
        <f t="shared" ref="AE49:AE62" si="43">M49-J49</f>
        <v>-121.304347826087</v>
      </c>
      <c r="AF49" s="293">
        <f t="shared" si="9"/>
        <v>0.95956521739130429</v>
      </c>
      <c r="AG49" s="573">
        <f>AF55</f>
        <v>0.96983052213487042</v>
      </c>
    </row>
    <row r="50" spans="1:33" ht="15.75" customHeight="1">
      <c r="A50" s="580" t="s">
        <v>1734</v>
      </c>
      <c r="B50" s="297" t="s">
        <v>104</v>
      </c>
      <c r="C50" s="574" t="s">
        <v>116</v>
      </c>
      <c r="D50" s="574"/>
      <c r="E50" s="39">
        <v>34.36</v>
      </c>
      <c r="F50" s="45">
        <v>1071</v>
      </c>
      <c r="G50" s="292">
        <f t="shared" si="40"/>
        <v>36799.56</v>
      </c>
      <c r="H50" s="48" t="s">
        <v>126</v>
      </c>
      <c r="I50" s="295">
        <v>10</v>
      </c>
      <c r="J50" s="43">
        <v>3000</v>
      </c>
      <c r="K50" s="18">
        <f t="shared" si="1"/>
        <v>300</v>
      </c>
      <c r="L50" s="295">
        <v>10</v>
      </c>
      <c r="M50" s="19">
        <f t="shared" si="41"/>
        <v>2920.909090909096</v>
      </c>
      <c r="N50" s="18">
        <f t="shared" si="3"/>
        <v>292.09090909090958</v>
      </c>
      <c r="O50" s="20">
        <f t="shared" si="4"/>
        <v>0</v>
      </c>
      <c r="P50" s="21">
        <f t="shared" si="5"/>
        <v>-7.9090909090904233</v>
      </c>
      <c r="Q50" s="293">
        <f t="shared" si="6"/>
        <v>0.9736363636363653</v>
      </c>
      <c r="R50" s="573"/>
      <c r="S50" s="49">
        <v>0.24374999999999999</v>
      </c>
      <c r="T50" s="49">
        <v>0.25902777777777775</v>
      </c>
      <c r="U50" s="292">
        <f t="shared" ref="U50:U54" si="44">(S50-T49)*24*60</f>
        <v>4.9999999999999822</v>
      </c>
      <c r="V50" s="296">
        <f t="shared" si="42"/>
        <v>21.999999999999961</v>
      </c>
      <c r="W50" s="292"/>
      <c r="X50" s="292"/>
      <c r="Y50" s="292"/>
      <c r="Z50" s="292"/>
      <c r="AA50" s="575"/>
      <c r="AB50" s="575"/>
      <c r="AC50" s="50"/>
      <c r="AD50" s="27"/>
      <c r="AE50" s="20">
        <f t="shared" si="43"/>
        <v>-79.090909090904006</v>
      </c>
      <c r="AF50" s="293">
        <f t="shared" si="9"/>
        <v>0.9736363636363653</v>
      </c>
      <c r="AG50" s="573"/>
    </row>
    <row r="51" spans="1:33" ht="15.75" customHeight="1">
      <c r="A51" s="580" t="s">
        <v>1735</v>
      </c>
      <c r="B51" s="297" t="s">
        <v>104</v>
      </c>
      <c r="C51" s="574" t="s">
        <v>117</v>
      </c>
      <c r="D51" s="574"/>
      <c r="E51" s="39">
        <v>26.78</v>
      </c>
      <c r="F51" s="45">
        <v>2304</v>
      </c>
      <c r="G51" s="292">
        <f t="shared" si="40"/>
        <v>61701.120000000003</v>
      </c>
      <c r="H51" s="48" t="s">
        <v>126</v>
      </c>
      <c r="I51" s="295">
        <v>10</v>
      </c>
      <c r="J51" s="43">
        <v>3000</v>
      </c>
      <c r="K51" s="18">
        <f t="shared" si="1"/>
        <v>300</v>
      </c>
      <c r="L51" s="295">
        <v>10</v>
      </c>
      <c r="M51" s="19">
        <f t="shared" si="41"/>
        <v>2880.0000000000009</v>
      </c>
      <c r="N51" s="18">
        <f t="shared" si="3"/>
        <v>288.00000000000011</v>
      </c>
      <c r="O51" s="20">
        <f t="shared" si="4"/>
        <v>0</v>
      </c>
      <c r="P51" s="21">
        <f t="shared" si="5"/>
        <v>-11.999999999999886</v>
      </c>
      <c r="Q51" s="293">
        <f t="shared" si="6"/>
        <v>0.96000000000000041</v>
      </c>
      <c r="R51" s="573"/>
      <c r="S51" s="49">
        <v>0.2631944444444444</v>
      </c>
      <c r="T51" s="49">
        <v>0.29652777777777772</v>
      </c>
      <c r="U51" s="292">
        <f t="shared" si="44"/>
        <v>5.9999999999999787</v>
      </c>
      <c r="V51" s="296">
        <f t="shared" si="42"/>
        <v>47.999999999999986</v>
      </c>
      <c r="W51" s="292"/>
      <c r="X51" s="292"/>
      <c r="Y51" s="292"/>
      <c r="Z51" s="292"/>
      <c r="AA51" s="575"/>
      <c r="AB51" s="575"/>
      <c r="AC51" s="50"/>
      <c r="AD51" s="27"/>
      <c r="AE51" s="20">
        <f t="shared" si="43"/>
        <v>-119.99999999999909</v>
      </c>
      <c r="AF51" s="293">
        <f t="shared" si="9"/>
        <v>0.9600000000000003</v>
      </c>
      <c r="AG51" s="573"/>
    </row>
    <row r="52" spans="1:33" ht="15.75" customHeight="1">
      <c r="A52" s="580" t="s">
        <v>66</v>
      </c>
      <c r="B52" s="297" t="s">
        <v>104</v>
      </c>
      <c r="C52" s="574" t="s">
        <v>118</v>
      </c>
      <c r="D52" s="574"/>
      <c r="E52" s="39">
        <v>37.880000000000003</v>
      </c>
      <c r="F52" s="45">
        <v>1091</v>
      </c>
      <c r="G52" s="292">
        <f t="shared" si="40"/>
        <v>41327.08</v>
      </c>
      <c r="H52" s="48" t="s">
        <v>126</v>
      </c>
      <c r="I52" s="295">
        <v>10</v>
      </c>
      <c r="J52" s="43">
        <v>3000</v>
      </c>
      <c r="K52" s="18">
        <f t="shared" si="1"/>
        <v>300</v>
      </c>
      <c r="L52" s="295">
        <v>10</v>
      </c>
      <c r="M52" s="19">
        <f t="shared" si="41"/>
        <v>2975.4545454545455</v>
      </c>
      <c r="N52" s="18">
        <f t="shared" si="3"/>
        <v>297.54545454545456</v>
      </c>
      <c r="O52" s="20">
        <f t="shared" si="4"/>
        <v>0</v>
      </c>
      <c r="P52" s="21">
        <f t="shared" si="5"/>
        <v>-2.454545454545439</v>
      </c>
      <c r="Q52" s="293">
        <f t="shared" si="6"/>
        <v>0.99181818181818182</v>
      </c>
      <c r="R52" s="573"/>
      <c r="S52" s="49">
        <v>0.30208333333333326</v>
      </c>
      <c r="T52" s="49">
        <v>0.31736111111111104</v>
      </c>
      <c r="U52" s="292">
        <f t="shared" si="44"/>
        <v>7.9999999999999716</v>
      </c>
      <c r="V52" s="296">
        <f t="shared" si="42"/>
        <v>22</v>
      </c>
      <c r="W52" s="292"/>
      <c r="X52" s="292"/>
      <c r="Y52" s="292"/>
      <c r="Z52" s="292"/>
      <c r="AA52" s="575"/>
      <c r="AB52" s="575"/>
      <c r="AC52" s="50"/>
      <c r="AD52" s="27"/>
      <c r="AE52" s="20">
        <f t="shared" si="43"/>
        <v>-24.545454545454504</v>
      </c>
      <c r="AF52" s="293">
        <f t="shared" si="9"/>
        <v>0.99181818181818182</v>
      </c>
      <c r="AG52" s="573"/>
    </row>
    <row r="53" spans="1:33">
      <c r="A53" s="581" t="s">
        <v>1735</v>
      </c>
      <c r="B53" s="297" t="s">
        <v>104</v>
      </c>
      <c r="C53" s="574" t="s">
        <v>119</v>
      </c>
      <c r="D53" s="574"/>
      <c r="E53" s="39">
        <v>35.869999999999997</v>
      </c>
      <c r="F53" s="45">
        <v>3364</v>
      </c>
      <c r="G53" s="292">
        <f t="shared" si="40"/>
        <v>120666.68</v>
      </c>
      <c r="H53" s="48" t="s">
        <v>126</v>
      </c>
      <c r="I53" s="295">
        <v>9</v>
      </c>
      <c r="J53" s="43">
        <v>3000</v>
      </c>
      <c r="K53" s="18">
        <f t="shared" si="1"/>
        <v>333.33333333333331</v>
      </c>
      <c r="L53" s="295">
        <v>9</v>
      </c>
      <c r="M53" s="19">
        <f t="shared" si="41"/>
        <v>2883.428571428572</v>
      </c>
      <c r="N53" s="18">
        <f t="shared" si="3"/>
        <v>320.38095238095246</v>
      </c>
      <c r="O53" s="20">
        <f t="shared" si="4"/>
        <v>0</v>
      </c>
      <c r="P53" s="21">
        <f t="shared" si="5"/>
        <v>-12.95238095238085</v>
      </c>
      <c r="Q53" s="293">
        <f t="shared" si="6"/>
        <v>0.96114285714285741</v>
      </c>
      <c r="R53" s="573"/>
      <c r="S53" s="49">
        <v>0.32222222222222213</v>
      </c>
      <c r="T53" s="49">
        <v>0.37083333333333324</v>
      </c>
      <c r="U53" s="292">
        <f t="shared" si="44"/>
        <v>6.9999999999999751</v>
      </c>
      <c r="V53" s="296">
        <f t="shared" si="42"/>
        <v>69.999999999999986</v>
      </c>
      <c r="W53" s="25"/>
      <c r="X53" s="25"/>
      <c r="Y53" s="25"/>
      <c r="Z53" s="25"/>
      <c r="AA53" s="575"/>
      <c r="AB53" s="575"/>
      <c r="AC53" s="50"/>
      <c r="AD53" s="27"/>
      <c r="AE53" s="20">
        <f t="shared" si="43"/>
        <v>-116.57142857142799</v>
      </c>
      <c r="AF53" s="293">
        <f t="shared" si="9"/>
        <v>0.9611428571428573</v>
      </c>
      <c r="AG53" s="573"/>
    </row>
    <row r="54" spans="1:33" ht="15" customHeight="1">
      <c r="A54" s="581" t="s">
        <v>1735</v>
      </c>
      <c r="B54" s="297" t="s">
        <v>104</v>
      </c>
      <c r="C54" s="566" t="s">
        <v>120</v>
      </c>
      <c r="D54" s="567"/>
      <c r="E54" s="39">
        <v>34.35</v>
      </c>
      <c r="F54" s="45">
        <v>1897</v>
      </c>
      <c r="G54" s="292">
        <f t="shared" si="40"/>
        <v>65161.950000000004</v>
      </c>
      <c r="H54" s="48" t="s">
        <v>126</v>
      </c>
      <c r="I54" s="295">
        <v>8</v>
      </c>
      <c r="J54" s="43">
        <v>3000</v>
      </c>
      <c r="K54" s="18">
        <f t="shared" si="1"/>
        <v>375</v>
      </c>
      <c r="L54" s="295">
        <v>8</v>
      </c>
      <c r="M54" s="19">
        <f t="shared" si="41"/>
        <v>2918.4615384615367</v>
      </c>
      <c r="N54" s="18">
        <f t="shared" si="3"/>
        <v>364.80769230769209</v>
      </c>
      <c r="O54" s="20">
        <f t="shared" si="4"/>
        <v>0</v>
      </c>
      <c r="P54" s="21">
        <f t="shared" si="5"/>
        <v>-10.192307692307907</v>
      </c>
      <c r="Q54" s="293">
        <f t="shared" si="6"/>
        <v>0.9728205128205123</v>
      </c>
      <c r="R54" s="573"/>
      <c r="S54" s="49">
        <v>0.37499999999999989</v>
      </c>
      <c r="T54" s="49">
        <v>0.40208333333333324</v>
      </c>
      <c r="U54" s="292">
        <f t="shared" si="44"/>
        <v>5.9999999999999787</v>
      </c>
      <c r="V54" s="296">
        <f t="shared" si="42"/>
        <v>39.000000000000021</v>
      </c>
      <c r="W54" s="292"/>
      <c r="X54" s="292"/>
      <c r="Y54" s="289"/>
      <c r="Z54" s="289"/>
      <c r="AA54" s="568"/>
      <c r="AB54" s="569"/>
      <c r="AC54" s="50"/>
      <c r="AD54" s="27"/>
      <c r="AE54" s="20">
        <f t="shared" si="43"/>
        <v>-81.538461538463253</v>
      </c>
      <c r="AF54" s="293">
        <f t="shared" si="9"/>
        <v>0.9728205128205123</v>
      </c>
      <c r="AG54" s="573"/>
    </row>
    <row r="55" spans="1:33">
      <c r="A55" s="581" t="s">
        <v>66</v>
      </c>
      <c r="B55" s="39" t="s">
        <v>1736</v>
      </c>
      <c r="C55" s="576"/>
      <c r="D55" s="576"/>
      <c r="E55" s="294"/>
      <c r="F55" s="42"/>
      <c r="G55" s="18"/>
      <c r="H55" s="297"/>
      <c r="I55" s="32">
        <v>9.5</v>
      </c>
      <c r="J55" s="43">
        <v>3000</v>
      </c>
      <c r="K55" s="18">
        <f t="shared" si="1"/>
        <v>315.78947368421052</v>
      </c>
      <c r="L55" s="32">
        <v>9.5</v>
      </c>
      <c r="M55" s="19">
        <f>AVERAGE(M49:M54)</f>
        <v>2909.4915664046111</v>
      </c>
      <c r="N55" s="18">
        <f t="shared" si="3"/>
        <v>306.26227014785383</v>
      </c>
      <c r="O55" s="20">
        <f t="shared" si="4"/>
        <v>0</v>
      </c>
      <c r="P55" s="21">
        <f t="shared" si="5"/>
        <v>-9.5272035363566943</v>
      </c>
      <c r="Q55" s="293">
        <f t="shared" si="6"/>
        <v>0.96983052213487042</v>
      </c>
      <c r="R55" s="573"/>
      <c r="S55" s="49"/>
      <c r="T55" s="49"/>
      <c r="U55" s="18"/>
      <c r="V55" s="296"/>
      <c r="W55" s="18"/>
      <c r="X55" s="18"/>
      <c r="Y55" s="33">
        <f>SUM(Y49:Y54)</f>
        <v>0</v>
      </c>
      <c r="Z55" s="33">
        <f>SUM(Z49:Z54)</f>
        <v>0</v>
      </c>
      <c r="AA55" s="572"/>
      <c r="AB55" s="572"/>
      <c r="AC55" s="33">
        <v>6</v>
      </c>
      <c r="AD55" s="33">
        <f>SUM(AD49:AD54)</f>
        <v>0</v>
      </c>
      <c r="AE55" s="20">
        <f t="shared" si="43"/>
        <v>-90.508433595388851</v>
      </c>
      <c r="AF55" s="293">
        <f t="shared" si="9"/>
        <v>0.96983052213487042</v>
      </c>
      <c r="AG55" s="573"/>
    </row>
    <row r="56" spans="1:33" ht="15.75" customHeight="1">
      <c r="A56" s="577" t="s">
        <v>1737</v>
      </c>
      <c r="B56" s="297" t="s">
        <v>94</v>
      </c>
      <c r="C56" s="574" t="s">
        <v>124</v>
      </c>
      <c r="D56" s="574"/>
      <c r="E56" s="39">
        <v>22.69</v>
      </c>
      <c r="F56" s="297">
        <v>3705</v>
      </c>
      <c r="G56" s="292">
        <f t="shared" ref="G56:G61" si="45">E56*F56</f>
        <v>84066.450000000012</v>
      </c>
      <c r="H56" s="48" t="s">
        <v>126</v>
      </c>
      <c r="I56" s="295">
        <v>15</v>
      </c>
      <c r="J56" s="43">
        <v>2400</v>
      </c>
      <c r="K56" s="18">
        <f t="shared" si="1"/>
        <v>160</v>
      </c>
      <c r="L56" s="295">
        <v>15</v>
      </c>
      <c r="M56" s="19">
        <f t="shared" ref="M56:M61" si="46">F56/V56*60</f>
        <v>2291.752577319588</v>
      </c>
      <c r="N56" s="18">
        <f t="shared" si="3"/>
        <v>152.78350515463919</v>
      </c>
      <c r="O56" s="20">
        <f t="shared" si="4"/>
        <v>0</v>
      </c>
      <c r="P56" s="21">
        <f t="shared" si="5"/>
        <v>-7.2164948453608133</v>
      </c>
      <c r="Q56" s="293">
        <f t="shared" si="6"/>
        <v>0.95489690721649489</v>
      </c>
      <c r="R56" s="573">
        <f>Q62</f>
        <v>0.95602825513747713</v>
      </c>
      <c r="S56" s="49">
        <v>8.3333333333333329E-2</v>
      </c>
      <c r="T56" s="49">
        <v>0.15069444444444444</v>
      </c>
      <c r="U56" s="30"/>
      <c r="V56" s="296">
        <f t="shared" ref="V56:V61" si="47">(T56-S56)*24*60</f>
        <v>97</v>
      </c>
      <c r="W56" s="25">
        <f>T56</f>
        <v>0.15069444444444444</v>
      </c>
      <c r="X56" s="25">
        <f>S57</f>
        <v>0.16805555555555551</v>
      </c>
      <c r="Y56" s="25"/>
      <c r="Z56" s="25"/>
      <c r="AA56" s="575"/>
      <c r="AB56" s="575"/>
      <c r="AC56" s="50">
        <v>6</v>
      </c>
      <c r="AD56" s="27"/>
      <c r="AE56" s="20">
        <f t="shared" si="43"/>
        <v>-108.247422680412</v>
      </c>
      <c r="AF56" s="293">
        <f t="shared" si="9"/>
        <v>0.95489690721649501</v>
      </c>
      <c r="AG56" s="573">
        <f>AF62</f>
        <v>0.95602825513747713</v>
      </c>
    </row>
    <row r="57" spans="1:33" ht="15.75" customHeight="1">
      <c r="A57" s="578" t="s">
        <v>71</v>
      </c>
      <c r="B57" s="297" t="s">
        <v>94</v>
      </c>
      <c r="C57" s="574" t="s">
        <v>123</v>
      </c>
      <c r="D57" s="574"/>
      <c r="E57" s="39">
        <v>20.21</v>
      </c>
      <c r="F57" s="297">
        <v>2695</v>
      </c>
      <c r="G57" s="292">
        <f t="shared" si="45"/>
        <v>54465.950000000004</v>
      </c>
      <c r="H57" s="48" t="s">
        <v>126</v>
      </c>
      <c r="I57" s="295">
        <v>15</v>
      </c>
      <c r="J57" s="43">
        <v>2400</v>
      </c>
      <c r="K57" s="18">
        <f t="shared" si="1"/>
        <v>160</v>
      </c>
      <c r="L57" s="295">
        <v>15</v>
      </c>
      <c r="M57" s="19">
        <f t="shared" si="46"/>
        <v>2310.0000000000005</v>
      </c>
      <c r="N57" s="18">
        <f t="shared" si="3"/>
        <v>154.00000000000003</v>
      </c>
      <c r="O57" s="20">
        <f t="shared" si="4"/>
        <v>0</v>
      </c>
      <c r="P57" s="21">
        <f t="shared" si="5"/>
        <v>-5.9999999999999716</v>
      </c>
      <c r="Q57" s="293">
        <f t="shared" si="6"/>
        <v>0.96250000000000013</v>
      </c>
      <c r="R57" s="573"/>
      <c r="S57" s="49">
        <v>0.16805555555555551</v>
      </c>
      <c r="T57" s="49">
        <v>0.21666666666666662</v>
      </c>
      <c r="U57" s="292">
        <f t="shared" ref="U57:U61" si="48">(S57-T56)*24*60</f>
        <v>24.99999999999995</v>
      </c>
      <c r="V57" s="296">
        <f t="shared" si="47"/>
        <v>69.999999999999986</v>
      </c>
      <c r="W57" s="25"/>
      <c r="X57" s="25"/>
      <c r="Y57" s="25"/>
      <c r="Z57" s="25"/>
      <c r="AA57" s="575"/>
      <c r="AB57" s="575"/>
      <c r="AC57" s="50"/>
      <c r="AD57" s="27"/>
      <c r="AE57" s="20">
        <f t="shared" si="43"/>
        <v>-89.999999999999545</v>
      </c>
      <c r="AF57" s="293">
        <f t="shared" si="9"/>
        <v>0.96250000000000024</v>
      </c>
      <c r="AG57" s="573"/>
    </row>
    <row r="58" spans="1:33" ht="15.75" customHeight="1">
      <c r="A58" s="578" t="s">
        <v>71</v>
      </c>
      <c r="B58" s="297" t="s">
        <v>94</v>
      </c>
      <c r="C58" s="574" t="s">
        <v>125</v>
      </c>
      <c r="D58" s="574"/>
      <c r="E58" s="39">
        <v>19.02</v>
      </c>
      <c r="F58" s="297">
        <v>5300</v>
      </c>
      <c r="G58" s="292">
        <f t="shared" si="45"/>
        <v>100806</v>
      </c>
      <c r="H58" s="48">
        <v>2</v>
      </c>
      <c r="I58" s="295">
        <v>14</v>
      </c>
      <c r="J58" s="43">
        <v>2400</v>
      </c>
      <c r="K58" s="18">
        <f t="shared" si="1"/>
        <v>171.42857142857142</v>
      </c>
      <c r="L58" s="295">
        <v>14</v>
      </c>
      <c r="M58" s="19">
        <f t="shared" si="46"/>
        <v>2287.7697841726613</v>
      </c>
      <c r="N58" s="18">
        <f t="shared" si="3"/>
        <v>163.41212744090438</v>
      </c>
      <c r="O58" s="20">
        <f t="shared" si="4"/>
        <v>0</v>
      </c>
      <c r="P58" s="21">
        <f t="shared" si="5"/>
        <v>-8.0164439876670315</v>
      </c>
      <c r="Q58" s="293">
        <f t="shared" si="6"/>
        <v>0.95323741007194229</v>
      </c>
      <c r="R58" s="573"/>
      <c r="S58" s="49">
        <v>0.22152777777777774</v>
      </c>
      <c r="T58" s="49">
        <v>0.31805555555555554</v>
      </c>
      <c r="U58" s="292">
        <f t="shared" si="48"/>
        <v>7.0000000000000151</v>
      </c>
      <c r="V58" s="296">
        <f t="shared" si="47"/>
        <v>139.00000000000003</v>
      </c>
      <c r="W58" s="25"/>
      <c r="X58" s="25"/>
      <c r="Y58" s="25"/>
      <c r="Z58" s="25"/>
      <c r="AA58" s="575"/>
      <c r="AB58" s="575"/>
      <c r="AC58" s="50"/>
      <c r="AD58" s="27"/>
      <c r="AE58" s="20">
        <f t="shared" si="43"/>
        <v>-112.23021582733872</v>
      </c>
      <c r="AF58" s="293">
        <f t="shared" si="9"/>
        <v>0.95323741007194218</v>
      </c>
      <c r="AG58" s="573"/>
    </row>
    <row r="59" spans="1:33" ht="15.75" customHeight="1">
      <c r="A59" s="578" t="s">
        <v>71</v>
      </c>
      <c r="B59" s="297" t="s">
        <v>94</v>
      </c>
      <c r="C59" s="574" t="s">
        <v>99</v>
      </c>
      <c r="D59" s="574"/>
      <c r="E59" s="39">
        <v>20.36</v>
      </c>
      <c r="F59" s="297">
        <v>4316</v>
      </c>
      <c r="G59" s="292">
        <f t="shared" si="45"/>
        <v>87873.76</v>
      </c>
      <c r="H59" s="48" t="s">
        <v>126</v>
      </c>
      <c r="I59" s="295">
        <v>17</v>
      </c>
      <c r="J59" s="43">
        <v>2400</v>
      </c>
      <c r="K59" s="18">
        <f t="shared" si="1"/>
        <v>141.1764705882353</v>
      </c>
      <c r="L59" s="295">
        <v>17</v>
      </c>
      <c r="M59" s="19">
        <f t="shared" si="46"/>
        <v>2291.6814159292035</v>
      </c>
      <c r="N59" s="18">
        <f t="shared" si="3"/>
        <v>134.80478917230607</v>
      </c>
      <c r="O59" s="20">
        <f t="shared" si="4"/>
        <v>0</v>
      </c>
      <c r="P59" s="21">
        <f t="shared" si="5"/>
        <v>-6.3716814159292312</v>
      </c>
      <c r="Q59" s="293">
        <f t="shared" si="6"/>
        <v>0.95486725663716798</v>
      </c>
      <c r="R59" s="573"/>
      <c r="S59" s="49">
        <v>0.32152777777777775</v>
      </c>
      <c r="T59" s="49">
        <v>0.39999999999999997</v>
      </c>
      <c r="U59" s="292">
        <f t="shared" si="48"/>
        <v>4.9999999999999822</v>
      </c>
      <c r="V59" s="296">
        <f t="shared" si="47"/>
        <v>113</v>
      </c>
      <c r="W59" s="25"/>
      <c r="X59" s="25"/>
      <c r="Y59" s="25"/>
      <c r="Z59" s="25"/>
      <c r="AA59" s="575"/>
      <c r="AB59" s="575"/>
      <c r="AC59" s="50"/>
      <c r="AD59" s="27"/>
      <c r="AE59" s="20">
        <f t="shared" si="43"/>
        <v>-108.31858407079653</v>
      </c>
      <c r="AF59" s="293">
        <f t="shared" si="9"/>
        <v>0.95486725663716809</v>
      </c>
      <c r="AG59" s="573"/>
    </row>
    <row r="60" spans="1:33" ht="15.75" customHeight="1">
      <c r="A60" s="578" t="s">
        <v>71</v>
      </c>
      <c r="B60" s="297" t="s">
        <v>94</v>
      </c>
      <c r="C60" s="574" t="s">
        <v>1231</v>
      </c>
      <c r="D60" s="574"/>
      <c r="E60" s="39">
        <v>25.99</v>
      </c>
      <c r="F60" s="297">
        <v>4619</v>
      </c>
      <c r="G60" s="292">
        <f t="shared" si="45"/>
        <v>120047.81</v>
      </c>
      <c r="H60" s="48" t="s">
        <v>126</v>
      </c>
      <c r="I60" s="295">
        <v>19</v>
      </c>
      <c r="J60" s="43">
        <v>2400</v>
      </c>
      <c r="K60" s="18">
        <f t="shared" si="1"/>
        <v>126.31578947368421</v>
      </c>
      <c r="L60" s="295">
        <v>19</v>
      </c>
      <c r="M60" s="19">
        <f t="shared" si="46"/>
        <v>2290.4132231404965</v>
      </c>
      <c r="N60" s="18">
        <f t="shared" si="3"/>
        <v>120.5480643758156</v>
      </c>
      <c r="O60" s="20">
        <f t="shared" si="4"/>
        <v>0</v>
      </c>
      <c r="P60" s="21">
        <f t="shared" si="5"/>
        <v>-5.7677250978686061</v>
      </c>
      <c r="Q60" s="293">
        <f t="shared" si="6"/>
        <v>0.95433884297520688</v>
      </c>
      <c r="R60" s="573"/>
      <c r="S60" s="49">
        <v>0.40347222222222218</v>
      </c>
      <c r="T60" s="49">
        <v>0.48749999999999993</v>
      </c>
      <c r="U60" s="292">
        <f t="shared" si="48"/>
        <v>4.9999999999999822</v>
      </c>
      <c r="V60" s="296">
        <f t="shared" si="47"/>
        <v>120.99999999999997</v>
      </c>
      <c r="W60" s="25">
        <f>T60</f>
        <v>0.48749999999999993</v>
      </c>
      <c r="X60" s="25">
        <f>S61</f>
        <v>0.52777777777777768</v>
      </c>
      <c r="Y60" s="25"/>
      <c r="Z60" s="25"/>
      <c r="AA60" s="575"/>
      <c r="AB60" s="575"/>
      <c r="AC60" s="50"/>
      <c r="AD60" s="27"/>
      <c r="AE60" s="20">
        <f t="shared" si="43"/>
        <v>-109.58677685950352</v>
      </c>
      <c r="AF60" s="293">
        <f t="shared" si="9"/>
        <v>0.95433884297520688</v>
      </c>
      <c r="AG60" s="573"/>
    </row>
    <row r="61" spans="1:33" ht="15.75" customHeight="1">
      <c r="A61" s="578" t="s">
        <v>1738</v>
      </c>
      <c r="B61" s="297" t="s">
        <v>94</v>
      </c>
      <c r="C61" s="574" t="s">
        <v>125</v>
      </c>
      <c r="D61" s="574"/>
      <c r="E61" s="39">
        <v>19.02</v>
      </c>
      <c r="F61" s="297">
        <v>3022</v>
      </c>
      <c r="G61" s="292">
        <f t="shared" si="45"/>
        <v>57478.44</v>
      </c>
      <c r="H61" s="48" t="s">
        <v>126</v>
      </c>
      <c r="I61" s="295">
        <v>14</v>
      </c>
      <c r="J61" s="43">
        <v>2400</v>
      </c>
      <c r="K61" s="18">
        <f t="shared" si="1"/>
        <v>171.42857142857142</v>
      </c>
      <c r="L61" s="295">
        <v>14</v>
      </c>
      <c r="M61" s="19">
        <f t="shared" si="46"/>
        <v>2295.1898734177203</v>
      </c>
      <c r="N61" s="18">
        <f t="shared" si="3"/>
        <v>163.94213381555144</v>
      </c>
      <c r="O61" s="20">
        <f t="shared" si="4"/>
        <v>0</v>
      </c>
      <c r="P61" s="21">
        <f t="shared" si="5"/>
        <v>-7.486437613019973</v>
      </c>
      <c r="Q61" s="293">
        <f t="shared" si="6"/>
        <v>0.95632911392405018</v>
      </c>
      <c r="R61" s="573"/>
      <c r="S61" s="49">
        <v>0.52777777777777768</v>
      </c>
      <c r="T61" s="49">
        <v>0.58263888888888882</v>
      </c>
      <c r="U61" s="292">
        <f t="shared" si="48"/>
        <v>57.999999999999957</v>
      </c>
      <c r="V61" s="296">
        <f t="shared" si="47"/>
        <v>79.000000000000043</v>
      </c>
      <c r="W61" s="25"/>
      <c r="X61" s="25"/>
      <c r="Y61" s="25"/>
      <c r="Z61" s="25"/>
      <c r="AA61" s="575"/>
      <c r="AB61" s="575"/>
      <c r="AC61" s="50"/>
      <c r="AD61" s="27"/>
      <c r="AE61" s="20">
        <f t="shared" si="43"/>
        <v>-104.81012658227974</v>
      </c>
      <c r="AF61" s="293">
        <f t="shared" si="9"/>
        <v>0.95632911392405007</v>
      </c>
      <c r="AG61" s="573"/>
    </row>
    <row r="62" spans="1:33" ht="16.5" customHeight="1">
      <c r="A62" s="579" t="s">
        <v>1737</v>
      </c>
      <c r="B62" s="39" t="s">
        <v>1739</v>
      </c>
      <c r="C62" s="570"/>
      <c r="D62" s="571"/>
      <c r="E62" s="294"/>
      <c r="F62" s="42"/>
      <c r="G62" s="18"/>
      <c r="H62" s="297"/>
      <c r="I62" s="32">
        <v>15.666666666666666</v>
      </c>
      <c r="J62" s="43">
        <v>2400</v>
      </c>
      <c r="K62" s="18">
        <f t="shared" si="1"/>
        <v>153.19148936170214</v>
      </c>
      <c r="L62" s="32">
        <v>15.666666666666666</v>
      </c>
      <c r="M62" s="19">
        <f>AVERAGE(M56:M61)</f>
        <v>2294.467812329945</v>
      </c>
      <c r="N62" s="18">
        <f t="shared" si="3"/>
        <v>146.45539227637948</v>
      </c>
      <c r="O62" s="20">
        <f t="shared" si="4"/>
        <v>0</v>
      </c>
      <c r="P62" s="21">
        <f t="shared" si="5"/>
        <v>-6.7360970853226547</v>
      </c>
      <c r="Q62" s="293">
        <f t="shared" si="6"/>
        <v>0.95602825513747713</v>
      </c>
      <c r="R62" s="573"/>
      <c r="S62" s="49"/>
      <c r="T62" s="49"/>
      <c r="U62" s="18"/>
      <c r="V62" s="296"/>
      <c r="W62" s="18"/>
      <c r="X62" s="18"/>
      <c r="Y62" s="33">
        <f>SUM(Y56:Y61)</f>
        <v>0</v>
      </c>
      <c r="Z62" s="33">
        <f>SUM(Z56:Z61)</f>
        <v>0</v>
      </c>
      <c r="AA62" s="572"/>
      <c r="AB62" s="572"/>
      <c r="AC62" s="33">
        <v>6</v>
      </c>
      <c r="AD62" s="33">
        <f>SUM(AD56:AD61)</f>
        <v>0</v>
      </c>
      <c r="AE62" s="20">
        <f t="shared" si="43"/>
        <v>-105.53218767005501</v>
      </c>
      <c r="AF62" s="293">
        <f t="shared" si="9"/>
        <v>0.95602825513747713</v>
      </c>
      <c r="AG62" s="573"/>
    </row>
    <row r="63" spans="1:33">
      <c r="D63" s="35"/>
      <c r="E63" s="35"/>
      <c r="J63" s="124"/>
    </row>
  </sheetData>
  <mergeCells count="177">
    <mergeCell ref="AA59:AB59"/>
    <mergeCell ref="C60:D60"/>
    <mergeCell ref="AA60:AB60"/>
    <mergeCell ref="A56:A62"/>
    <mergeCell ref="C56:D56"/>
    <mergeCell ref="R56:R62"/>
    <mergeCell ref="AA56:AB56"/>
    <mergeCell ref="AG56:AG62"/>
    <mergeCell ref="C57:D57"/>
    <mergeCell ref="AA57:AB57"/>
    <mergeCell ref="C58:D58"/>
    <mergeCell ref="AA58:AB58"/>
    <mergeCell ref="C59:D59"/>
    <mergeCell ref="C61:D61"/>
    <mergeCell ref="AA61:AB61"/>
    <mergeCell ref="C62:D62"/>
    <mergeCell ref="AA62:AB62"/>
    <mergeCell ref="A49:A55"/>
    <mergeCell ref="C49:D49"/>
    <mergeCell ref="R49:R55"/>
    <mergeCell ref="AA49:AB49"/>
    <mergeCell ref="AG49:AG55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46:D46"/>
    <mergeCell ref="AA46:AB46"/>
    <mergeCell ref="C47:D47"/>
    <mergeCell ref="AA47:AB47"/>
    <mergeCell ref="C48:D48"/>
    <mergeCell ref="AA48:AB48"/>
    <mergeCell ref="A41:A48"/>
    <mergeCell ref="C41:D41"/>
    <mergeCell ref="R41:R48"/>
    <mergeCell ref="AA41:AB41"/>
    <mergeCell ref="A36:A40"/>
    <mergeCell ref="C36:D36"/>
    <mergeCell ref="R36:R40"/>
    <mergeCell ref="AA36:AB36"/>
    <mergeCell ref="A30:A35"/>
    <mergeCell ref="C30:D30"/>
    <mergeCell ref="R30:R35"/>
    <mergeCell ref="AA30:AB30"/>
    <mergeCell ref="AG41:AG48"/>
    <mergeCell ref="C42:D42"/>
    <mergeCell ref="AA42:AB42"/>
    <mergeCell ref="C43:D43"/>
    <mergeCell ref="AA43:AB43"/>
    <mergeCell ref="AA44:AB44"/>
    <mergeCell ref="AG36:AG40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AA45:AB45"/>
    <mergeCell ref="AG30:AG35"/>
    <mergeCell ref="C31:D31"/>
    <mergeCell ref="AA31:AB31"/>
    <mergeCell ref="C32:D32"/>
    <mergeCell ref="AA32:AB32"/>
    <mergeCell ref="C33:D33"/>
    <mergeCell ref="AA26:AB26"/>
    <mergeCell ref="C27:D27"/>
    <mergeCell ref="AA27:AB27"/>
    <mergeCell ref="C28:D28"/>
    <mergeCell ref="AA28:AB28"/>
    <mergeCell ref="C29:D29"/>
    <mergeCell ref="AA29:AB29"/>
    <mergeCell ref="AA33:AB33"/>
    <mergeCell ref="C34:D34"/>
    <mergeCell ref="AA34:AB34"/>
    <mergeCell ref="C35:D35"/>
    <mergeCell ref="AA35:AB35"/>
    <mergeCell ref="AG23:AG29"/>
    <mergeCell ref="C24:D24"/>
    <mergeCell ref="AA24:AB24"/>
    <mergeCell ref="C25:D25"/>
    <mergeCell ref="AA25:AB25"/>
    <mergeCell ref="C26:D26"/>
    <mergeCell ref="AG16:AG22"/>
    <mergeCell ref="C17:D17"/>
    <mergeCell ref="AA17:AB17"/>
    <mergeCell ref="C18:D18"/>
    <mergeCell ref="AA18:AB18"/>
    <mergeCell ref="C19:D19"/>
    <mergeCell ref="C21:D21"/>
    <mergeCell ref="AA21:AB21"/>
    <mergeCell ref="C22:D22"/>
    <mergeCell ref="AA22:AB22"/>
    <mergeCell ref="AA19:AB19"/>
    <mergeCell ref="C20:D20"/>
    <mergeCell ref="AA20:AB20"/>
    <mergeCell ref="A16:A22"/>
    <mergeCell ref="C16:D16"/>
    <mergeCell ref="R16:R22"/>
    <mergeCell ref="AA16:AB16"/>
    <mergeCell ref="A23:A29"/>
    <mergeCell ref="C23:D23"/>
    <mergeCell ref="R23:R29"/>
    <mergeCell ref="AA23:AB23"/>
    <mergeCell ref="AG9:AG11"/>
    <mergeCell ref="C10:D10"/>
    <mergeCell ref="AA10:AB10"/>
    <mergeCell ref="C11:D11"/>
    <mergeCell ref="AA11:AB11"/>
    <mergeCell ref="A12:A15"/>
    <mergeCell ref="C12:D12"/>
    <mergeCell ref="R12:R15"/>
    <mergeCell ref="AA12:AB12"/>
    <mergeCell ref="AG12:AG15"/>
    <mergeCell ref="A9:A11"/>
    <mergeCell ref="C9:D9"/>
    <mergeCell ref="R9:R11"/>
    <mergeCell ref="AA9:AB9"/>
    <mergeCell ref="C13:D13"/>
    <mergeCell ref="AA13:AB13"/>
    <mergeCell ref="AA14:AB14"/>
    <mergeCell ref="C15:D15"/>
    <mergeCell ref="AA15:AB15"/>
    <mergeCell ref="L1:N2"/>
    <mergeCell ref="O1:R2"/>
    <mergeCell ref="S1:X2"/>
    <mergeCell ref="AA1:AB2"/>
    <mergeCell ref="AE3:AE4"/>
    <mergeCell ref="K3:K4"/>
    <mergeCell ref="L3:L4"/>
    <mergeCell ref="M3:M4"/>
    <mergeCell ref="AE1:AG2"/>
    <mergeCell ref="AF3:AF4"/>
    <mergeCell ref="AG3:AG4"/>
    <mergeCell ref="I1:K2"/>
    <mergeCell ref="F3:F4"/>
    <mergeCell ref="G3:G4"/>
    <mergeCell ref="Q3:Q4"/>
    <mergeCell ref="R3:R4"/>
    <mergeCell ref="S3:T3"/>
    <mergeCell ref="H3:H4"/>
    <mergeCell ref="I3:I4"/>
    <mergeCell ref="J3:J4"/>
    <mergeCell ref="C14:D1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C7:D7"/>
    <mergeCell ref="AA7:AB7"/>
    <mergeCell ref="C8:D8"/>
    <mergeCell ref="AA8:AB8"/>
    <mergeCell ref="A3:A4"/>
    <mergeCell ref="B3:B4"/>
    <mergeCell ref="C3:D4"/>
    <mergeCell ref="E3:E4"/>
  </mergeCells>
  <phoneticPr fontId="3" type="noConversion"/>
  <conditionalFormatting sqref="O48:O49 O52:O62 O5:O9 O11:O13 O15:O46">
    <cfRule type="cellIs" dxfId="930" priority="36" operator="greaterThan">
      <formula>0</formula>
    </cfRule>
  </conditionalFormatting>
  <conditionalFormatting sqref="P5:P7 P52:P54 AE52:AE54 P56:P61 P23:P28 P49 P9 P11:P13 P16:P21 P41:P46 P30:P39 AE5:AE49 AE56:AE62">
    <cfRule type="cellIs" dxfId="929" priority="40" operator="lessThan">
      <formula>0</formula>
    </cfRule>
  </conditionalFormatting>
  <conditionalFormatting sqref="AF52:AF54 Q48:Q49 Q52:Q62 Q5:Q9 Q11:Q13 Q15:Q46 AF5:AF49 AF56:AF62">
    <cfRule type="cellIs" dxfId="928" priority="37" operator="greaterThan">
      <formula>1</formula>
    </cfRule>
    <cfRule type="cellIs" dxfId="927" priority="38" operator="lessThan">
      <formula>0.8</formula>
    </cfRule>
  </conditionalFormatting>
  <conditionalFormatting sqref="AG12:AG13 R12:R13 AG52 AG48:AG49 R48:R49 R52:R62 AG5:AG9 R5:R9 R15:R46 AG15:AG46">
    <cfRule type="cellIs" dxfId="926" priority="42" operator="lessThan">
      <formula>0.8</formula>
    </cfRule>
  </conditionalFormatting>
  <conditionalFormatting sqref="AG36">
    <cfRule type="cellIs" dxfId="925" priority="44" operator="lessThan">
      <formula>0.8</formula>
    </cfRule>
  </conditionalFormatting>
  <conditionalFormatting sqref="AG16:AG21">
    <cfRule type="cellIs" dxfId="924" priority="41" operator="lessThan">
      <formula>0.8</formula>
    </cfRule>
  </conditionalFormatting>
  <conditionalFormatting sqref="AG23">
    <cfRule type="cellIs" dxfId="923" priority="43" operator="lessThan">
      <formula>0.8</formula>
    </cfRule>
  </conditionalFormatting>
  <conditionalFormatting sqref="AG30:AG34">
    <cfRule type="cellIs" dxfId="922" priority="39" operator="lessThan">
      <formula>0.8</formula>
    </cfRule>
  </conditionalFormatting>
  <conditionalFormatting sqref="AE55">
    <cfRule type="cellIs" dxfId="921" priority="35" operator="lessThan">
      <formula>0</formula>
    </cfRule>
  </conditionalFormatting>
  <conditionalFormatting sqref="AF55">
    <cfRule type="cellIs" dxfId="920" priority="33" operator="greaterThan">
      <formula>1</formula>
    </cfRule>
    <cfRule type="cellIs" dxfId="919" priority="34" operator="lessThan">
      <formula>0.8</formula>
    </cfRule>
  </conditionalFormatting>
  <conditionalFormatting sqref="O14">
    <cfRule type="cellIs" dxfId="918" priority="28" operator="greaterThan">
      <formula>0</formula>
    </cfRule>
  </conditionalFormatting>
  <conditionalFormatting sqref="P14">
    <cfRule type="cellIs" dxfId="917" priority="31" operator="lessThan">
      <formula>0</formula>
    </cfRule>
  </conditionalFormatting>
  <conditionalFormatting sqref="Q14">
    <cfRule type="cellIs" dxfId="916" priority="29" operator="greaterThan">
      <formula>1</formula>
    </cfRule>
    <cfRule type="cellIs" dxfId="915" priority="30" operator="lessThan">
      <formula>0.8</formula>
    </cfRule>
  </conditionalFormatting>
  <conditionalFormatting sqref="R14 AG14">
    <cfRule type="cellIs" dxfId="914" priority="32" operator="lessThan">
      <formula>0.8</formula>
    </cfRule>
  </conditionalFormatting>
  <conditionalFormatting sqref="O10">
    <cfRule type="cellIs" dxfId="913" priority="24" operator="greaterThan">
      <formula>0</formula>
    </cfRule>
  </conditionalFormatting>
  <conditionalFormatting sqref="P10">
    <cfRule type="cellIs" dxfId="912" priority="27" operator="lessThan">
      <formula>0</formula>
    </cfRule>
  </conditionalFormatting>
  <conditionalFormatting sqref="Q10">
    <cfRule type="cellIs" dxfId="911" priority="25" operator="greaterThan">
      <formula>1</formula>
    </cfRule>
    <cfRule type="cellIs" dxfId="910" priority="26" operator="lessThan">
      <formula>0.8</formula>
    </cfRule>
  </conditionalFormatting>
  <conditionalFormatting sqref="O47">
    <cfRule type="cellIs" dxfId="909" priority="19" operator="greaterThan">
      <formula>0</formula>
    </cfRule>
  </conditionalFormatting>
  <conditionalFormatting sqref="P47">
    <cfRule type="cellIs" dxfId="908" priority="22" operator="lessThan">
      <formula>0</formula>
    </cfRule>
  </conditionalFormatting>
  <conditionalFormatting sqref="Q47">
    <cfRule type="cellIs" dxfId="907" priority="20" operator="greaterThan">
      <formula>1</formula>
    </cfRule>
    <cfRule type="cellIs" dxfId="906" priority="21" operator="lessThan">
      <formula>0.8</formula>
    </cfRule>
  </conditionalFormatting>
  <conditionalFormatting sqref="R47 AG47">
    <cfRule type="cellIs" dxfId="905" priority="23" operator="lessThan">
      <formula>0.8</formula>
    </cfRule>
  </conditionalFormatting>
  <conditionalFormatting sqref="O51">
    <cfRule type="cellIs" dxfId="904" priority="14" operator="greaterThan">
      <formula>0</formula>
    </cfRule>
  </conditionalFormatting>
  <conditionalFormatting sqref="P51 AE51">
    <cfRule type="cellIs" dxfId="903" priority="17" operator="lessThan">
      <formula>0</formula>
    </cfRule>
  </conditionalFormatting>
  <conditionalFormatting sqref="Q51 AF51">
    <cfRule type="cellIs" dxfId="902" priority="15" operator="greaterThan">
      <formula>1</formula>
    </cfRule>
    <cfRule type="cellIs" dxfId="901" priority="16" operator="lessThan">
      <formula>0.8</formula>
    </cfRule>
  </conditionalFormatting>
  <conditionalFormatting sqref="R51 AG51">
    <cfRule type="cellIs" dxfId="900" priority="18" operator="lessThan">
      <formula>0.8</formula>
    </cfRule>
  </conditionalFormatting>
  <conditionalFormatting sqref="O50">
    <cfRule type="cellIs" dxfId="899" priority="9" operator="greaterThan">
      <formula>0</formula>
    </cfRule>
  </conditionalFormatting>
  <conditionalFormatting sqref="P50 AE50">
    <cfRule type="cellIs" dxfId="898" priority="12" operator="lessThan">
      <formula>0</formula>
    </cfRule>
  </conditionalFormatting>
  <conditionalFormatting sqref="Q50 AF50">
    <cfRule type="cellIs" dxfId="897" priority="10" operator="greaterThan">
      <formula>1</formula>
    </cfRule>
    <cfRule type="cellIs" dxfId="896" priority="11" operator="lessThan">
      <formula>0.8</formula>
    </cfRule>
  </conditionalFormatting>
  <conditionalFormatting sqref="R50 AG50">
    <cfRule type="cellIs" dxfId="895" priority="13" operator="lessThan">
      <formula>0.8</formula>
    </cfRule>
  </conditionalFormatting>
  <conditionalFormatting sqref="P8">
    <cfRule type="cellIs" dxfId="894" priority="8" operator="lessThan">
      <formula>0</formula>
    </cfRule>
  </conditionalFormatting>
  <conditionalFormatting sqref="P15">
    <cfRule type="cellIs" dxfId="893" priority="7" operator="lessThan">
      <formula>0</formula>
    </cfRule>
  </conditionalFormatting>
  <conditionalFormatting sqref="P22">
    <cfRule type="cellIs" dxfId="892" priority="6" operator="lessThan">
      <formula>0</formula>
    </cfRule>
  </conditionalFormatting>
  <conditionalFormatting sqref="P29">
    <cfRule type="cellIs" dxfId="891" priority="5" operator="lessThan">
      <formula>0</formula>
    </cfRule>
  </conditionalFormatting>
  <conditionalFormatting sqref="P40">
    <cfRule type="cellIs" dxfId="890" priority="4" operator="lessThan">
      <formula>0</formula>
    </cfRule>
  </conditionalFormatting>
  <conditionalFormatting sqref="P48">
    <cfRule type="cellIs" dxfId="889" priority="3" operator="lessThan">
      <formula>0</formula>
    </cfRule>
  </conditionalFormatting>
  <conditionalFormatting sqref="P55">
    <cfRule type="cellIs" dxfId="888" priority="2" operator="lessThan">
      <formula>0</formula>
    </cfRule>
  </conditionalFormatting>
  <conditionalFormatting sqref="P62">
    <cfRule type="cellIs" dxfId="887" priority="1" operator="lessThan">
      <formula>0</formula>
    </cfRule>
  </conditionalFormatting>
  <dataValidations count="1">
    <dataValidation type="list" allowBlank="1" showInputMessage="1" showErrorMessage="1" sqref="AB8 AA5:AB7 AB53:AB54 AB10:AB49 AA55:AB62 AA8:AA5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L1" sqref="L1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191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1524</v>
      </c>
      <c r="C3" s="555" t="str">
        <f>TEXT('0515 4度C'!A2,"yyyy.mm.ddaaaa")</f>
        <v>2026.05.15星期五</v>
      </c>
      <c r="D3" s="556"/>
      <c r="E3" s="54" t="s">
        <v>129</v>
      </c>
      <c r="F3" s="557">
        <f>'0515 4度C'!D1</f>
        <v>141581</v>
      </c>
      <c r="G3" s="558"/>
      <c r="H3" s="54" t="s">
        <v>1525</v>
      </c>
      <c r="I3" s="559">
        <f>'0515 4度C'!F1</f>
        <v>4859470.12</v>
      </c>
      <c r="J3" s="560"/>
      <c r="K3" s="55"/>
      <c r="L3" s="56"/>
      <c r="M3" s="57"/>
      <c r="N3" s="57"/>
    </row>
    <row r="4" spans="2:17" ht="28.5" customHeight="1">
      <c r="B4" s="561" t="s">
        <v>131</v>
      </c>
      <c r="C4" s="547" t="s">
        <v>1526</v>
      </c>
      <c r="D4" s="548"/>
      <c r="E4" s="564" t="s">
        <v>1527</v>
      </c>
      <c r="F4" s="565"/>
      <c r="G4" s="564" t="s">
        <v>1528</v>
      </c>
      <c r="H4" s="565"/>
      <c r="I4" s="564" t="s">
        <v>1529</v>
      </c>
      <c r="J4" s="565"/>
      <c r="K4" s="545" t="s">
        <v>1530</v>
      </c>
      <c r="L4" s="546"/>
      <c r="M4" s="546" t="s">
        <v>1531</v>
      </c>
      <c r="N4" s="546"/>
    </row>
    <row r="5" spans="2:17" ht="28.5" customHeight="1">
      <c r="B5" s="562"/>
      <c r="C5" s="547" t="s">
        <v>1532</v>
      </c>
      <c r="D5" s="548"/>
      <c r="E5" s="547" t="s">
        <v>437</v>
      </c>
      <c r="F5" s="548"/>
      <c r="G5" s="549" t="s">
        <v>305</v>
      </c>
      <c r="H5" s="550"/>
      <c r="I5" s="551" t="s">
        <v>1533</v>
      </c>
      <c r="J5" s="552"/>
      <c r="K5" s="58" t="s">
        <v>206</v>
      </c>
      <c r="L5" s="59" t="s">
        <v>1534</v>
      </c>
      <c r="M5" s="58" t="s">
        <v>1535</v>
      </c>
      <c r="N5" s="59" t="s">
        <v>310</v>
      </c>
    </row>
    <row r="6" spans="2:17" ht="28.5" customHeight="1">
      <c r="B6" s="562"/>
      <c r="C6" s="547" t="s">
        <v>145</v>
      </c>
      <c r="D6" s="548"/>
      <c r="E6" s="539">
        <f>AVERAGE(D13:M13)</f>
        <v>150.3122034155586</v>
      </c>
      <c r="F6" s="540">
        <f>AVERAGE(D31:O31,D13:J13)</f>
        <v>156.05891343345442</v>
      </c>
      <c r="G6" s="541">
        <f>AVERAGE(D13:J13)</f>
        <v>156.05891343345442</v>
      </c>
      <c r="H6" s="542"/>
      <c r="I6" s="541">
        <f>AVERAGE(K13:M13)</f>
        <v>136.90321337380161</v>
      </c>
      <c r="J6" s="542"/>
      <c r="K6" s="543">
        <f>'0515 4度C'!Y2</f>
        <v>0</v>
      </c>
      <c r="L6" s="528">
        <f>'0515 4度C'!Z2</f>
        <v>0</v>
      </c>
      <c r="M6" s="544">
        <f>'0515 4度C'!AC2</f>
        <v>49</v>
      </c>
      <c r="N6" s="528">
        <f>'0515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144.27389541233015</v>
      </c>
      <c r="F7" s="532">
        <f>AVERAGE(D32:O32,D14:J14)</f>
        <v>149.95061184513625</v>
      </c>
      <c r="G7" s="533">
        <f>AVERAGE(D14:J14)</f>
        <v>149.95061184513625</v>
      </c>
      <c r="H7" s="534"/>
      <c r="I7" s="533">
        <f>AVERAGE(K14:M14)</f>
        <v>131.02822373578263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0.95821222100747805</v>
      </c>
      <c r="F8" s="536">
        <f>AVERAGE(D15:J15,D33:O33)</f>
        <v>0.9587423199433357</v>
      </c>
      <c r="G8" s="537">
        <f>AVERAGE(D15:J15)</f>
        <v>0.9587423199433357</v>
      </c>
      <c r="H8" s="538"/>
      <c r="I8" s="537">
        <f>AVERAGE(K15:M15)</f>
        <v>0.95697532349047643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311</v>
      </c>
      <c r="N9" s="57"/>
      <c r="O9" s="57"/>
      <c r="P9" s="57"/>
      <c r="Q9" s="57"/>
    </row>
    <row r="10" spans="2:17" ht="30" customHeight="1">
      <c r="B10" s="511" t="s">
        <v>1536</v>
      </c>
      <c r="C10" s="512"/>
      <c r="D10" s="513" t="s">
        <v>313</v>
      </c>
      <c r="E10" s="514"/>
      <c r="F10" s="514"/>
      <c r="G10" s="514"/>
      <c r="H10" s="514"/>
      <c r="I10" s="514"/>
      <c r="J10" s="515"/>
      <c r="K10" s="516" t="s">
        <v>151</v>
      </c>
      <c r="L10" s="517"/>
      <c r="M10" s="518"/>
      <c r="P10" s="63"/>
      <c r="Q10" s="63"/>
    </row>
    <row r="11" spans="2:17" ht="17.25" customHeight="1">
      <c r="B11" s="519" t="s">
        <v>315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163</v>
      </c>
      <c r="C13" s="70" t="s">
        <v>213</v>
      </c>
      <c r="D13" s="71">
        <f>SUMIFS('0515 4度C'!$K:$K,'0515 4度C'!$A:$A,"新豐6線",'0515 4度C'!$B:$B,"平均")</f>
        <v>125</v>
      </c>
      <c r="E13" s="72">
        <f>SUMIFS('0515 4度C'!$K:$K,'0515 4度C'!$A:$A,"新豐2線",'0515 4度C'!$B:$B,"平均")</f>
        <v>83.333333333333329</v>
      </c>
      <c r="F13" s="73">
        <f>SUMIFS('0515 4度C'!$K:$K,'0515 4度C'!$A:$A,"新豐5線",'0515 4度C'!$B:$B,"平均")</f>
        <v>87.719298245614041</v>
      </c>
      <c r="G13" s="73">
        <f>SUMIFS('0515 4度C'!$K:$K,'0515 4度C'!$A:$A,"新豐7線",'0515 4度C'!$B:$B,"平均")</f>
        <v>121.05263157894737</v>
      </c>
      <c r="H13" s="73">
        <f>SUMIFS('0515 4度C'!$K:$K,'0515 4度C'!$A:$A,"新豐3線",'0515 4度C'!$B:$B,"平均")</f>
        <v>255.81395348837211</v>
      </c>
      <c r="I13" s="73">
        <f>SUMIFS('0515 4度C'!$K:$K,'0515 4度C'!$A:$A,"新豐1線",'0515 4度C'!$B:$B,"平均")</f>
        <v>103.70370370370371</v>
      </c>
      <c r="J13" s="74">
        <f>SUMIFS('0515 4度C'!$K:$K,'0515 4度C'!$A:$A,"新豐10線",'0515 4度C'!$B:$B,"平均")</f>
        <v>315.78947368421052</v>
      </c>
      <c r="K13" s="75">
        <f>SUMIFS('0515 4度C'!$K:$K,'0515 4度C'!$A:$A,"新豐8線",'0515 4度C'!$B:$B,"平均")</f>
        <v>141.1764705882353</v>
      </c>
      <c r="L13" s="76">
        <f>SUMIFS('0515 4度C'!$K:$K,'0515 4度C'!$A:$A,"新豐9線",'0515 4度C'!$B:$B,"平均")</f>
        <v>118.18181818181817</v>
      </c>
      <c r="M13" s="74">
        <f>SUMIFS('0515 4度C'!$K:$K,'0515 4度C'!$A:$A,"新豐4線",'0515 4度C'!$B:$B,"平均")</f>
        <v>151.35135135135135</v>
      </c>
    </row>
    <row r="14" spans="2:17" ht="39.6" customHeight="1">
      <c r="B14" s="524"/>
      <c r="C14" s="77" t="s">
        <v>1537</v>
      </c>
      <c r="D14" s="78">
        <f>SUMIFS('0515 4度C'!$N:$N,'0515 4度C'!$A:$A,"新豐6線",'0515 4度C'!$B:$B,"平均")</f>
        <v>119.84187915742795</v>
      </c>
      <c r="E14" s="79">
        <f>SUMIFS('0515 4度C'!$N:$N,'0515 4度C'!$A:$A,"新豐2線",'0515 4度C'!$B:$B,"平均")</f>
        <v>79.243863913509614</v>
      </c>
      <c r="F14" s="79">
        <f>SUMIFS('0515 4度C'!$N:$N,'0515 4度C'!$A:$A,"新豐5線",'0515 4度C'!$B:$B,"平均")</f>
        <v>84.025379654670317</v>
      </c>
      <c r="G14" s="79">
        <f>SUMIFS('0515 4度C'!$N:$N,'0515 4度C'!$A:$A,"新豐7線",'0515 4度C'!$B:$B,"平均")</f>
        <v>116.02628913295842</v>
      </c>
      <c r="H14" s="79">
        <f>SUMIFS('0515 4度C'!$N:$N,'0515 4度C'!$A:$A,"新豐3線",'0515 4度C'!$B:$B,"平均")</f>
        <v>245.34415757470779</v>
      </c>
      <c r="I14" s="79">
        <f>SUMIFS('0515 4度C'!$N:$N,'0515 4度C'!$A:$A,"新豐1線",'0515 4度C'!$B:$B,"平均")</f>
        <v>99.29416545371906</v>
      </c>
      <c r="J14" s="80">
        <f>SUMIFS('0515 4度C'!$N:$N,'0515 4度C'!$A:$A,"新豐10線",'0515 4度C'!$B:$B,"平均")</f>
        <v>305.87854802896055</v>
      </c>
      <c r="K14" s="81">
        <f>SUMIFS('0515 4度C'!$N:$N,'0515 4度C'!$A:$A,"新豐8線",'0515 4度C'!$B:$B,"平均")</f>
        <v>135.0940200867397</v>
      </c>
      <c r="L14" s="82">
        <f>SUMIFS('0515 4度C'!$N:$N,'0515 4度C'!$A:$A,"新豐9線",'0515 4度C'!$B:$B,"平均")</f>
        <v>112.93647730799081</v>
      </c>
      <c r="M14" s="80">
        <f>SUMIFS('0515 4度C'!$N:$N,'0515 4度C'!$A:$A,"新豐4線",'0515 4度C'!$B:$B,"平均")</f>
        <v>145.05417381261736</v>
      </c>
    </row>
    <row r="15" spans="2:17" ht="40.15" customHeight="1">
      <c r="B15" s="525"/>
      <c r="C15" s="83" t="s">
        <v>1538</v>
      </c>
      <c r="D15" s="84">
        <f t="shared" ref="D15:M15" si="0">D14/D13</f>
        <v>0.95873503325942366</v>
      </c>
      <c r="E15" s="85">
        <f t="shared" si="0"/>
        <v>0.95092636696211541</v>
      </c>
      <c r="F15" s="85">
        <f t="shared" si="0"/>
        <v>0.95788932806324156</v>
      </c>
      <c r="G15" s="85">
        <f t="shared" si="0"/>
        <v>0.95847804066356956</v>
      </c>
      <c r="H15" s="85">
        <f t="shared" si="0"/>
        <v>0.95907261597385773</v>
      </c>
      <c r="I15" s="85">
        <f t="shared" si="0"/>
        <v>0.95747945258943379</v>
      </c>
      <c r="J15" s="86">
        <f t="shared" si="0"/>
        <v>0.96861540209170838</v>
      </c>
      <c r="K15" s="84">
        <f t="shared" si="0"/>
        <v>0.95691597561440622</v>
      </c>
      <c r="L15" s="85">
        <f t="shared" si="0"/>
        <v>0.95561634645223004</v>
      </c>
      <c r="M15" s="86">
        <f t="shared" si="0"/>
        <v>0.95839364840479324</v>
      </c>
    </row>
    <row r="16" spans="2:17" ht="17.25" customHeight="1">
      <c r="B16" s="526" t="s">
        <v>215</v>
      </c>
      <c r="C16" s="87" t="s">
        <v>1539</v>
      </c>
      <c r="D16" s="88">
        <f>VLOOKUP("新豐6線",'0515 4度C'!$A:$T,19,0)</f>
        <v>0.70833333333333337</v>
      </c>
      <c r="E16" s="89">
        <f>VLOOKUP("新豐2線",'0515 4度C'!$A:$T,19,0)</f>
        <v>0.20833333333333334</v>
      </c>
      <c r="F16" s="89">
        <f>VLOOKUP("新豐5線",'0515 4度C'!$A:$T,19,0)</f>
        <v>0.20833333333333334</v>
      </c>
      <c r="G16" s="89">
        <f>VLOOKUP("新豐7線",'0515 4度C'!$A:$T,19,0)</f>
        <v>0.20833333333333334</v>
      </c>
      <c r="H16" s="89">
        <f>VLOOKUP("新豐3線",'0515 4度C'!$A:$T,19,0)</f>
        <v>8.3333333333333329E-2</v>
      </c>
      <c r="I16" s="89">
        <f>VLOOKUP("新豐1線",'0515 4度C'!$A:$T,19,0)</f>
        <v>0.20833333333333334</v>
      </c>
      <c r="J16" s="90">
        <f>VLOOKUP("新豐10線",'0515 4度C'!$A:$T,19,0)</f>
        <v>0.20833333333333334</v>
      </c>
      <c r="K16" s="91">
        <f>VLOOKUP("新豐8線",'0515 4度C'!$A:$T,19,0)</f>
        <v>8.3333333333333329E-2</v>
      </c>
      <c r="L16" s="92">
        <f>VLOOKUP("新豐9線",'0515 4度C'!$A:$T,19,0)</f>
        <v>8.3333333333333329E-2</v>
      </c>
      <c r="M16" s="93">
        <f>VLOOKUP("新豐4線",'0515 4度C'!$A:$T,19,0)</f>
        <v>8.3333333333333329E-2</v>
      </c>
    </row>
    <row r="17" spans="2:13" ht="17.25" customHeight="1">
      <c r="B17" s="527"/>
      <c r="C17" s="87" t="s">
        <v>169</v>
      </c>
      <c r="D17" s="91">
        <f>LOOKUP(2,1/(('0515 4度C'!$A:$A="新豐6線")*('0515 4度C'!$T:$T&lt;&gt;"")),'0515 4度C'!$T:$T)</f>
        <v>0.81041666666666667</v>
      </c>
      <c r="E17" s="89">
        <f>LOOKUP(2,1/(('0515 4度C'!$A:$A="新豐2線")*('0515 4度C'!$T:$T&lt;&gt;"")),'0515 4度C'!$T:$T)</f>
        <v>0.49791666666666667</v>
      </c>
      <c r="F17" s="89">
        <f>LOOKUP(2,1/(('0515 4度C'!$A:$A="新豐5線")*('0515 4度C'!$T:$T&lt;&gt;"")),'0515 4度C'!$T:$T)</f>
        <v>0.78819444444444442</v>
      </c>
      <c r="G17" s="89">
        <f>LOOKUP(2,1/(('0515 4度C'!$A:$A="新豐7線")*('0515 4度C'!$T:$T&lt;&gt;"")),'0515 4度C'!$T:$T)</f>
        <v>0.79791666666666661</v>
      </c>
      <c r="H17" s="89">
        <f>LOOKUP(2,1/(('0515 4度C'!$A:$A="新豐3線")*('0515 4度C'!$T:$T&lt;&gt;"")),'0515 4度C'!$T:$T)</f>
        <v>0.36736111111111108</v>
      </c>
      <c r="I17" s="89">
        <f>LOOKUP(2,1/(('0515 4度C'!$A:$A="新豐1線")*('0515 4度C'!$T:$T&lt;&gt;"")),'0515 4度C'!$T:$T)</f>
        <v>0.77083333333333337</v>
      </c>
      <c r="J17" s="90">
        <f>LOOKUP(2,1/(('0515 4度C'!$A:$A="新豐10線")*('0515 4度C'!$T:$T&lt;&gt;"")),'0515 4度C'!$T:$T)</f>
        <v>0.375</v>
      </c>
      <c r="K17" s="88">
        <f>LOOKUP(2,1/(('0515 4度C'!$A:$A="新豐8線")*('0515 4度C'!$T:$T&lt;&gt;"")),'0515 4度C'!$T:$T)</f>
        <v>0.6069444444444444</v>
      </c>
      <c r="L17" s="89">
        <f>LOOKUP(2,1/(('0515 4度C'!$A:$A="新豐9線")*('0515 4度C'!$T:$T&lt;&gt;"")),'0515 4度C'!$T:$T)</f>
        <v>0.56666666666666665</v>
      </c>
      <c r="M17" s="90">
        <f>LOOKUP(2,1/(('0515 4度C'!$A:$A="新豐4線")*('0515 4度C'!$T:$T&lt;&gt;"")),'0515 4度C'!$T:$T)</f>
        <v>0.60208333333333319</v>
      </c>
    </row>
    <row r="18" spans="2:13" ht="17.25" customHeight="1">
      <c r="B18" s="505" t="s">
        <v>1540</v>
      </c>
      <c r="C18" s="94" t="s">
        <v>1541</v>
      </c>
      <c r="D18" s="95">
        <f>SUMIFS('0515 4度C'!$Y:$Y,'0515 4度C'!$A:$A,"新豐6線",'0515 4度C'!$B:$B,"平均")</f>
        <v>0</v>
      </c>
      <c r="E18" s="96">
        <f>SUMIFS('0515 4度C'!$Y:$Y,'0515 4度C'!$A:$A,"新豐2線",'0515 4度C'!$B:$B,"平均")</f>
        <v>0</v>
      </c>
      <c r="F18" s="96">
        <f>SUMIFS('0515 4度C'!$Y:$Y,'0515 4度C'!$A:$A,"新豐5線",'0515 4度C'!$B:$B,"平均")</f>
        <v>0</v>
      </c>
      <c r="G18" s="96">
        <f>SUMIFS('0515 4度C'!$Y:$Y,'0515 4度C'!$A:$A,"新豐7線",'0515 4度C'!$B:$B,"平均")</f>
        <v>0</v>
      </c>
      <c r="H18" s="96">
        <f>SUMIFS('0515 4度C'!$Y:$Y,'0515 4度C'!$A:$A,"新豐3線",'0515 4度C'!$B:$B,"平均")</f>
        <v>0</v>
      </c>
      <c r="I18" s="96">
        <f>SUMIFS('0515 4度C'!$Y:$Y,'0515 4度C'!$A:$A,"新豐1線",'0515 4度C'!$B:$B,"平均")</f>
        <v>0</v>
      </c>
      <c r="J18" s="97">
        <f>SUMIFS('0515 4度C'!$Y:$Y,'0515 4度C'!$A:$A,"新豐10線",'0515 4度C'!$B:$B,"平均")</f>
        <v>0</v>
      </c>
      <c r="K18" s="98">
        <f>SUMIFS('0515 4度C'!$Y:$Y,'0515 4度C'!$A:$A,"新豐8線",'0515 4度C'!$B:$B,"平均")</f>
        <v>0</v>
      </c>
      <c r="L18" s="96">
        <f>SUMIFS('0515 4度C'!$Y:$Y,'0515 4度C'!$A:$A,"新豐9線",'0515 4度C'!$B:$B,"平均")</f>
        <v>0</v>
      </c>
      <c r="M18" s="97">
        <f>SUMIFS('0515 4度C'!$Y:$Y,'0515 4度C'!$A:$A,"新豐4線",'0515 4度C'!$B:$B,"平均")</f>
        <v>0</v>
      </c>
    </row>
    <row r="19" spans="2:13" ht="17.25" customHeight="1">
      <c r="B19" s="506"/>
      <c r="C19" s="94" t="s">
        <v>1542</v>
      </c>
      <c r="D19" s="95">
        <f>SUMIFS('0515 4度C'!$Z:$Z,'0515 4度C'!$A:$A,"新豐6線",'0515 4度C'!$B:$B,"平均")</f>
        <v>0</v>
      </c>
      <c r="E19" s="96">
        <f>SUMIFS('0515 4度C'!$Z:$Z,'0515 4度C'!$A:$A,"新豐2線",'0515 4度C'!$B:$B,"平均")</f>
        <v>0</v>
      </c>
      <c r="F19" s="96">
        <f>SUMIFS('0515 4度C'!$Z:$Z,'0515 4度C'!$A:$A,"新豐5線",'0515 4度C'!$B:$B,"平均")</f>
        <v>0</v>
      </c>
      <c r="G19" s="96">
        <f>SUMIFS('0515 4度C'!$Z:$Z,'0515 4度C'!$A:$A,"新豐7線",'0515 4度C'!$B:$B,"平均")</f>
        <v>0</v>
      </c>
      <c r="H19" s="96">
        <f>SUMIFS('0515 4度C'!$Z:$Z,'0515 4度C'!$A:$A,"新豐3線",'0515 4度C'!$B:$B,"平均")</f>
        <v>0</v>
      </c>
      <c r="I19" s="96">
        <f>SUMIFS('0515 4度C'!$Z:$Z,'0515 4度C'!$A:$A,"新豐1線",'0515 4度C'!$B:$B,"平均")</f>
        <v>0</v>
      </c>
      <c r="J19" s="97">
        <f>SUMIFS('0515 4度C'!$Z:$Z,'0515 4度C'!$A:$A,"新豐10線",'0515 4度C'!$B:$B,"平均")</f>
        <v>0</v>
      </c>
      <c r="K19" s="98">
        <f>SUMIFS('0515 4度C'!$Z:$Z,'0515 4度C'!$A:$A,"新豐8線",'0515 4度C'!$B:$B,"平均")</f>
        <v>0</v>
      </c>
      <c r="L19" s="96">
        <f>SUMIFS('0515 4度C'!$Z:$Z,'0515 4度C'!$A:$A,"新豐9線",'0515 4度C'!$B:$B,"平均")</f>
        <v>0</v>
      </c>
      <c r="M19" s="97">
        <f>SUMIFS('0515 4度C'!$Z:$Z,'0515 4度C'!$A:$A,"新豐4線",'0515 4度C'!$B:$B,"平均")</f>
        <v>0</v>
      </c>
    </row>
    <row r="20" spans="2:13" ht="17.25" customHeight="1">
      <c r="B20" s="505" t="s">
        <v>1543</v>
      </c>
      <c r="C20" s="94" t="s">
        <v>171</v>
      </c>
      <c r="D20" s="95">
        <f>SUMIFS('0515 4度C'!$AC:$AC,'0515 4度C'!$A:$A,"新豐6線",'0515 4度C'!$B:$B,"平均")</f>
        <v>3</v>
      </c>
      <c r="E20" s="96">
        <f>SUMIFS('0515 4度C'!$AC:$AC,'0515 4度C'!$A:$A,"新豐2線",'0515 4度C'!$B:$B,"平均")</f>
        <v>2</v>
      </c>
      <c r="F20" s="96">
        <f>SUMIFS('0515 4度C'!$AC:$AC,'0515 4度C'!$A:$A,"新豐5線",'0515 4度C'!$B:$B,"平均")</f>
        <v>3</v>
      </c>
      <c r="G20" s="96">
        <f>SUMIFS('0515 4度C'!$AC:$AC,'0515 4度C'!$A:$A,"新豐7線",'0515 4度C'!$B:$B,"平均")</f>
        <v>6</v>
      </c>
      <c r="H20" s="96">
        <f>SUMIFS('0515 4度C'!$AC:$AC,'0515 4度C'!$A:$A,"新豐3線",'0515 4度C'!$B:$B,"平均")</f>
        <v>4</v>
      </c>
      <c r="I20" s="96">
        <f>SUMIFS('0515 4度C'!$AC:$AC,'0515 4度C'!$A:$A,"新豐1線",'0515 4度C'!$B:$B,"平均")</f>
        <v>7</v>
      </c>
      <c r="J20" s="97">
        <f>SUMIFS('0515 4度C'!$AC:$AC,'0515 4度C'!$A:$A,"新豐10線",'0515 4度C'!$B:$B,"平均")</f>
        <v>6</v>
      </c>
      <c r="K20" s="98">
        <f>SUMIFS('0515 4度C'!$AC:$AC,'0515 4度C'!$A:$A,"新豐8線",'0515 4度C'!$B:$B,"平均")</f>
        <v>6</v>
      </c>
      <c r="L20" s="96">
        <f>SUMIFS('0515 4度C'!$AC:$AC,'0515 4度C'!$A:$A,"新豐9線",'0515 4度C'!$B:$B,"平均")</f>
        <v>5</v>
      </c>
      <c r="M20" s="97">
        <f>SUMIFS('0515 4度C'!$AC:$AC,'0515 4度C'!$A:$A,"新豐4線",'0515 4度C'!$B:$B,"平均")</f>
        <v>7</v>
      </c>
    </row>
    <row r="21" spans="2:13" ht="17.25" customHeight="1">
      <c r="B21" s="506"/>
      <c r="C21" s="94" t="s">
        <v>327</v>
      </c>
      <c r="D21" s="95">
        <f>SUMIFS('0515 4度C'!$AD:$AD,'0515 4度C'!$A:$A,"新豐6線",'0515 4度C'!$B:$B,"平均")</f>
        <v>0</v>
      </c>
      <c r="E21" s="96">
        <f>SUMIFS('0515 4度C'!$AD:$AD,'0515 4度C'!$A:$A,"新豐2線",'0515 4度C'!$B:$B,"平均")</f>
        <v>0</v>
      </c>
      <c r="F21" s="96">
        <f>SUMIFS('0515 4度C'!$AD:$AD,'0515 4度C'!$A:$A,"新豐5線",'0515 4度C'!$B:$B,"平均")</f>
        <v>0</v>
      </c>
      <c r="G21" s="96">
        <f>SUMIFS('0515 4度C'!$AD:$AD,'0515 4度C'!$A:$A,"新豐7線",'0515 4度C'!$B:$B,"平均")</f>
        <v>0</v>
      </c>
      <c r="H21" s="96">
        <f>SUMIFS('0515 4度C'!$AD:$AD,'0515 4度C'!$A:$A,"新豐3線",'0515 4度C'!$B:$B,"平均")</f>
        <v>0</v>
      </c>
      <c r="I21" s="96">
        <f>SUMIFS('0515 4度C'!$AD:$AD,'0515 4度C'!$A:$A,"新豐1線",'0515 4度C'!$B:$B,"平均")</f>
        <v>0</v>
      </c>
      <c r="J21" s="97">
        <f>SUMIFS('0515 4度C'!$AD:$AD,'0515 4度C'!$A:$A,"新豐10線",'0515 4度C'!$B:$B,"平均")</f>
        <v>0</v>
      </c>
      <c r="K21" s="98">
        <f>SUMIFS('0515 4度C'!$AD:$AD,'0515 4度C'!$A:$A,"新豐8線",'0515 4度C'!$B:$B,"平均")</f>
        <v>0</v>
      </c>
      <c r="L21" s="96">
        <f>SUMIFS('0515 4度C'!$AD:$AD,'0515 4度C'!$A:$A,"新豐9線",'0515 4度C'!$B:$B,"平均")</f>
        <v>0</v>
      </c>
      <c r="M21" s="97">
        <f>SUMIFS('0515 4度C'!$AD:$AD,'0515 4度C'!$A:$A,"新豐4線",'0515 4度C'!$B:$B,"平均")</f>
        <v>0</v>
      </c>
    </row>
    <row r="22" spans="2:13" ht="17.25" customHeight="1">
      <c r="B22" s="507" t="s">
        <v>1544</v>
      </c>
      <c r="C22" s="508"/>
      <c r="D22" s="99">
        <f>SUMIFS('0515 4度C'!$I:$I,'0515 4度C'!$A:$A,"新豐6線",'0515 4度C'!$B:$B,"平均")</f>
        <v>16</v>
      </c>
      <c r="E22" s="100">
        <f>SUMIFS('0515 4度C'!$I:$I,'0515 4度C'!$A:$A,"新豐2線",'0515 4度C'!$B:$B,"平均")</f>
        <v>18</v>
      </c>
      <c r="F22" s="100">
        <f>SUMIFS('0515 4度C'!$I:$I,'0515 4度C'!$A:$A,"新豐5線",'0515 4度C'!$B:$B,"平均")</f>
        <v>19</v>
      </c>
      <c r="G22" s="100">
        <f>SUMIFS('0515 4度C'!$I:$I,'0515 4度C'!$A:$A,"新豐7線",'0515 4度C'!$B:$B,"平均")</f>
        <v>15.833333333333334</v>
      </c>
      <c r="H22" s="100">
        <f>SUMIFS('0515 4度C'!$I:$I,'0515 4度C'!$A:$A,"新豐3線",'0515 4度C'!$B:$B,"平均")</f>
        <v>10.75</v>
      </c>
      <c r="I22" s="100">
        <f>SUMIFS('0515 4度C'!$I:$I,'0515 4度C'!$A:$A,"新豐1線",'0515 4度C'!$B:$B,"平均")</f>
        <v>19.285714285714285</v>
      </c>
      <c r="J22" s="101">
        <f>SUMIFS('0515 4度C'!$I:$I,'0515 4度C'!$A:$A,"新豐10線",'0515 4度C'!$B:$B,"平均")</f>
        <v>9.5</v>
      </c>
      <c r="K22" s="99">
        <f>SUMIFS('0515 4度C'!$I:$I,'0515 4度C'!$A:$A,"新豐8線",'0515 4度C'!$B:$B,"平均")</f>
        <v>17</v>
      </c>
      <c r="L22" s="100">
        <f>SUMIFS('0515 4度C'!$I:$I,'0515 4度C'!$A:$A,"新豐9線",'0515 4度C'!$B:$B,"平均")</f>
        <v>17.600000000000001</v>
      </c>
      <c r="M22" s="101">
        <f>SUMIFS('0515 4度C'!$I:$I,'0515 4度C'!$A:$A,"新豐4線",'0515 4度C'!$B:$B,"平均")</f>
        <v>15.857142857142858</v>
      </c>
    </row>
    <row r="23" spans="2:13" ht="17.25" customHeight="1">
      <c r="B23" s="507" t="s">
        <v>1545</v>
      </c>
      <c r="C23" s="508"/>
      <c r="D23" s="102" t="s">
        <v>177</v>
      </c>
      <c r="E23" s="103" t="s">
        <v>178</v>
      </c>
      <c r="F23" s="103" t="s">
        <v>1546</v>
      </c>
      <c r="G23" s="103" t="s">
        <v>225</v>
      </c>
      <c r="H23" s="103" t="s">
        <v>180</v>
      </c>
      <c r="I23" s="103" t="s">
        <v>177</v>
      </c>
      <c r="J23" s="104" t="s">
        <v>180</v>
      </c>
      <c r="K23" s="102" t="s">
        <v>1547</v>
      </c>
      <c r="L23" s="103" t="s">
        <v>226</v>
      </c>
      <c r="M23" s="104" t="s">
        <v>226</v>
      </c>
    </row>
    <row r="24" spans="2:13" ht="17.25" customHeight="1">
      <c r="B24" s="507" t="s">
        <v>183</v>
      </c>
      <c r="C24" s="508"/>
      <c r="D24" s="102"/>
      <c r="E24" s="103"/>
      <c r="F24" s="103" t="s">
        <v>1548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1549</v>
      </c>
      <c r="C25" s="510"/>
      <c r="D25" s="105"/>
      <c r="E25" s="106" t="s">
        <v>1550</v>
      </c>
      <c r="F25" s="503" t="s">
        <v>1551</v>
      </c>
      <c r="G25" s="504"/>
      <c r="H25" s="106" t="s">
        <v>188</v>
      </c>
      <c r="I25" s="106" t="s">
        <v>1552</v>
      </c>
      <c r="J25" s="107" t="s">
        <v>1553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88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4"/>
  <sheetViews>
    <sheetView zoomScale="80" zoomScaleNormal="80" workbookViewId="0">
      <pane ySplit="4" topLeftCell="A5" activePane="bottomLeft" state="frozen"/>
      <selection activeCell="A12" sqref="A12"/>
      <selection pane="bottomLeft" activeCell="A12" sqref="A12:A1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1554</v>
      </c>
      <c r="B1" s="1"/>
      <c r="C1" s="2" t="s">
        <v>1</v>
      </c>
      <c r="D1" s="3">
        <f>SUM(F5:F63)</f>
        <v>141581</v>
      </c>
      <c r="E1" s="280" t="s">
        <v>1555</v>
      </c>
      <c r="F1" s="1">
        <f>SUM(G5:G63)</f>
        <v>4859470.12</v>
      </c>
      <c r="G1" s="1" t="s">
        <v>1556</v>
      </c>
      <c r="H1" s="5">
        <f>L8+L11+L40+L48+L15+L55+L29+L35+L22+L63</f>
        <v>158.82619047619048</v>
      </c>
      <c r="I1" s="617" t="s">
        <v>1557</v>
      </c>
      <c r="J1" s="617"/>
      <c r="K1" s="617"/>
      <c r="L1" s="617" t="s">
        <v>1558</v>
      </c>
      <c r="M1" s="617"/>
      <c r="N1" s="617"/>
      <c r="O1" s="617" t="s">
        <v>1559</v>
      </c>
      <c r="P1" s="617"/>
      <c r="Q1" s="617"/>
      <c r="R1" s="617"/>
      <c r="S1" s="617" t="s">
        <v>1560</v>
      </c>
      <c r="T1" s="617"/>
      <c r="U1" s="617"/>
      <c r="V1" s="617"/>
      <c r="W1" s="617"/>
      <c r="X1" s="617"/>
      <c r="Y1" s="6" t="s">
        <v>1561</v>
      </c>
      <c r="Z1" s="7" t="s">
        <v>1562</v>
      </c>
      <c r="AA1" s="618" t="s">
        <v>1563</v>
      </c>
      <c r="AB1" s="618"/>
      <c r="AC1" s="8" t="s">
        <v>1564</v>
      </c>
      <c r="AD1" s="7" t="s">
        <v>1565</v>
      </c>
      <c r="AE1" s="617" t="s">
        <v>1566</v>
      </c>
      <c r="AF1" s="619"/>
      <c r="AG1" s="619"/>
    </row>
    <row r="2" spans="1:33" ht="26.25" customHeight="1">
      <c r="A2" s="37">
        <v>46157</v>
      </c>
      <c r="B2" s="38" t="s">
        <v>73</v>
      </c>
      <c r="C2" s="2" t="s">
        <v>1567</v>
      </c>
      <c r="D2" s="10">
        <f>AVERAGE(N8,N11,N40,N48,N15,N55,N22,N29,N35,N63)</f>
        <v>144.27389541233018</v>
      </c>
      <c r="E2" s="11" t="s">
        <v>14</v>
      </c>
      <c r="F2" s="12">
        <f>F1/D1</f>
        <v>34.322897281414882</v>
      </c>
      <c r="G2" s="1" t="s">
        <v>1568</v>
      </c>
      <c r="H2" s="286">
        <f>COUNT(H5:H63)</f>
        <v>4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SUM(Y8+Y11+Y15+Y22+Y29+Y35+Y40+Y48+Y55+Y63)</f>
        <v>0</v>
      </c>
      <c r="Z2" s="14">
        <f>SUM(Z8+Z11+Z15+Z22+Z29+Z35+Z40+Z48+Z55+Z63)</f>
        <v>0</v>
      </c>
      <c r="AA2" s="618"/>
      <c r="AB2" s="618"/>
      <c r="AC2" s="14">
        <v>49</v>
      </c>
      <c r="AD2" s="14">
        <f>SUM(AD8+AD11+AD15+AD22+AD29+AD35+AD40+AD48+AD55+AD63)</f>
        <v>0</v>
      </c>
      <c r="AE2" s="619"/>
      <c r="AF2" s="619"/>
      <c r="AG2" s="619"/>
    </row>
    <row r="3" spans="1:33" ht="40.5" customHeight="1">
      <c r="A3" s="575" t="s">
        <v>356</v>
      </c>
      <c r="B3" s="575" t="s">
        <v>1569</v>
      </c>
      <c r="C3" s="575" t="s">
        <v>488</v>
      </c>
      <c r="D3" s="575"/>
      <c r="E3" s="615" t="s">
        <v>1570</v>
      </c>
      <c r="F3" s="575" t="s">
        <v>1571</v>
      </c>
      <c r="G3" s="615" t="s">
        <v>1572</v>
      </c>
      <c r="H3" s="608" t="s">
        <v>1573</v>
      </c>
      <c r="I3" s="606" t="s">
        <v>1574</v>
      </c>
      <c r="J3" s="603" t="s">
        <v>1575</v>
      </c>
      <c r="K3" s="613" t="s">
        <v>1576</v>
      </c>
      <c r="L3" s="606" t="s">
        <v>1577</v>
      </c>
      <c r="M3" s="603" t="s">
        <v>1578</v>
      </c>
      <c r="N3" s="613" t="s">
        <v>1579</v>
      </c>
      <c r="O3" s="606" t="s">
        <v>492</v>
      </c>
      <c r="P3" s="613" t="s">
        <v>1580</v>
      </c>
      <c r="Q3" s="604" t="s">
        <v>1581</v>
      </c>
      <c r="R3" s="582" t="s">
        <v>1582</v>
      </c>
      <c r="S3" s="614" t="s">
        <v>28</v>
      </c>
      <c r="T3" s="614"/>
      <c r="U3" s="608" t="s">
        <v>29</v>
      </c>
      <c r="V3" s="608" t="s">
        <v>1583</v>
      </c>
      <c r="W3" s="575" t="s">
        <v>1584</v>
      </c>
      <c r="X3" s="575"/>
      <c r="Y3" s="609" t="s">
        <v>1585</v>
      </c>
      <c r="Z3" s="572"/>
      <c r="AA3" s="610" t="s">
        <v>1586</v>
      </c>
      <c r="AB3" s="611"/>
      <c r="AC3" s="609" t="s">
        <v>1587</v>
      </c>
      <c r="AD3" s="572"/>
      <c r="AE3" s="603" t="s">
        <v>1588</v>
      </c>
      <c r="AF3" s="604" t="s">
        <v>1589</v>
      </c>
      <c r="AG3" s="582" t="s">
        <v>1590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285" t="s">
        <v>36</v>
      </c>
      <c r="T4" s="285" t="s">
        <v>37</v>
      </c>
      <c r="U4" s="608"/>
      <c r="V4" s="608"/>
      <c r="W4" s="280" t="s">
        <v>1591</v>
      </c>
      <c r="X4" s="280" t="s">
        <v>1592</v>
      </c>
      <c r="Y4" s="279" t="s">
        <v>171</v>
      </c>
      <c r="Z4" s="279" t="s">
        <v>1593</v>
      </c>
      <c r="AA4" s="612"/>
      <c r="AB4" s="611"/>
      <c r="AC4" s="279" t="s">
        <v>1594</v>
      </c>
      <c r="AD4" s="279" t="s">
        <v>1595</v>
      </c>
      <c r="AE4" s="603"/>
      <c r="AF4" s="604"/>
      <c r="AG4" s="582"/>
    </row>
    <row r="5" spans="1:33">
      <c r="A5" s="605" t="s">
        <v>1596</v>
      </c>
      <c r="B5" s="39" t="s">
        <v>74</v>
      </c>
      <c r="C5" s="607" t="s">
        <v>75</v>
      </c>
      <c r="D5" s="607"/>
      <c r="E5" s="39">
        <v>50.67</v>
      </c>
      <c r="F5" s="285">
        <v>1307</v>
      </c>
      <c r="G5" s="280">
        <f t="shared" ref="G5:G7" si="0">E5*F5</f>
        <v>66225.69</v>
      </c>
      <c r="H5" s="48" t="s">
        <v>126</v>
      </c>
      <c r="I5" s="283">
        <v>17</v>
      </c>
      <c r="J5" s="43">
        <v>2000</v>
      </c>
      <c r="K5" s="18">
        <f t="shared" ref="K5:K63" si="1">J5/I5</f>
        <v>117.64705882352941</v>
      </c>
      <c r="L5" s="283">
        <v>17</v>
      </c>
      <c r="M5" s="19">
        <f t="shared" ref="M5:M7" si="2">F5/V5*60</f>
        <v>1912.6829268292677</v>
      </c>
      <c r="N5" s="18">
        <f t="shared" ref="N5:N63" si="3">M5/L5</f>
        <v>112.51076040172163</v>
      </c>
      <c r="O5" s="20">
        <f t="shared" ref="O5:O63" si="4">L5-I5</f>
        <v>0</v>
      </c>
      <c r="P5" s="21">
        <f t="shared" ref="P5:P63" si="5">N5-K5</f>
        <v>-5.1362984218077798</v>
      </c>
      <c r="Q5" s="281">
        <f t="shared" ref="Q5:Q63" si="6">N5/K5</f>
        <v>0.95634146341463389</v>
      </c>
      <c r="R5" s="573">
        <f>Q8</f>
        <v>0.95873503325942366</v>
      </c>
      <c r="S5" s="49">
        <v>0.70833333333333337</v>
      </c>
      <c r="T5" s="49">
        <v>0.7368055555555556</v>
      </c>
      <c r="U5" s="280"/>
      <c r="V5" s="284">
        <f t="shared" ref="V5:V7" si="7">(T5-S5)*24*60</f>
        <v>41.000000000000014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47" si="8">M5-J5</f>
        <v>-87.317073170732328</v>
      </c>
      <c r="AF5" s="281">
        <f t="shared" ref="AF5:AF63" si="9">M5/J5</f>
        <v>0.95634146341463389</v>
      </c>
      <c r="AG5" s="573">
        <f>AF8</f>
        <v>0.95873503325942366</v>
      </c>
    </row>
    <row r="6" spans="1:33">
      <c r="A6" s="606" t="s">
        <v>382</v>
      </c>
      <c r="B6" s="39" t="s">
        <v>74</v>
      </c>
      <c r="C6" s="607" t="s">
        <v>77</v>
      </c>
      <c r="D6" s="607"/>
      <c r="E6" s="39">
        <v>50.67</v>
      </c>
      <c r="F6" s="285">
        <v>1421</v>
      </c>
      <c r="G6" s="280">
        <f t="shared" si="0"/>
        <v>72002.070000000007</v>
      </c>
      <c r="H6" s="48" t="s">
        <v>126</v>
      </c>
      <c r="I6" s="283">
        <v>15</v>
      </c>
      <c r="J6" s="43">
        <v>2000</v>
      </c>
      <c r="K6" s="18">
        <f t="shared" si="1"/>
        <v>133.33333333333334</v>
      </c>
      <c r="L6" s="283">
        <v>15</v>
      </c>
      <c r="M6" s="19">
        <f t="shared" si="2"/>
        <v>1937.7272727272727</v>
      </c>
      <c r="N6" s="18">
        <f t="shared" si="3"/>
        <v>129.18181818181819</v>
      </c>
      <c r="O6" s="20">
        <f t="shared" si="4"/>
        <v>0</v>
      </c>
      <c r="P6" s="21">
        <f t="shared" si="5"/>
        <v>-4.1515151515151558</v>
      </c>
      <c r="Q6" s="281">
        <f t="shared" si="6"/>
        <v>0.96886363636363637</v>
      </c>
      <c r="R6" s="573"/>
      <c r="S6" s="49">
        <v>0.7416666666666667</v>
      </c>
      <c r="T6" s="49">
        <v>0.77222222222222225</v>
      </c>
      <c r="U6" s="280">
        <f t="shared" ref="U6:U7" si="10">IF(S6=TIME(17,0,0),"",(S6-T5)*24*60)</f>
        <v>6.9999999999999751</v>
      </c>
      <c r="V6" s="284">
        <f t="shared" si="7"/>
        <v>44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-62.272727272727252</v>
      </c>
      <c r="AF6" s="281">
        <f t="shared" si="9"/>
        <v>0.96886363636363637</v>
      </c>
      <c r="AG6" s="573"/>
    </row>
    <row r="7" spans="1:33">
      <c r="A7" s="606" t="s">
        <v>382</v>
      </c>
      <c r="B7" s="39" t="s">
        <v>74</v>
      </c>
      <c r="C7" s="598" t="s">
        <v>78</v>
      </c>
      <c r="D7" s="599"/>
      <c r="E7" s="39">
        <v>52.86</v>
      </c>
      <c r="F7" s="285">
        <v>1585</v>
      </c>
      <c r="G7" s="280">
        <f t="shared" si="0"/>
        <v>83783.100000000006</v>
      </c>
      <c r="H7" s="48" t="s">
        <v>126</v>
      </c>
      <c r="I7" s="283">
        <v>16</v>
      </c>
      <c r="J7" s="43">
        <v>2000</v>
      </c>
      <c r="K7" s="18">
        <f t="shared" si="1"/>
        <v>125</v>
      </c>
      <c r="L7" s="283">
        <v>16</v>
      </c>
      <c r="M7" s="19">
        <f t="shared" si="2"/>
        <v>1902.0000000000007</v>
      </c>
      <c r="N7" s="18">
        <f t="shared" si="3"/>
        <v>118.87500000000004</v>
      </c>
      <c r="O7" s="20">
        <f t="shared" si="4"/>
        <v>0</v>
      </c>
      <c r="P7" s="21">
        <f t="shared" si="5"/>
        <v>-6.1249999999999574</v>
      </c>
      <c r="Q7" s="281">
        <f t="shared" si="6"/>
        <v>0.95100000000000029</v>
      </c>
      <c r="R7" s="573"/>
      <c r="S7" s="49">
        <v>0.77569444444444446</v>
      </c>
      <c r="T7" s="49">
        <v>0.81041666666666667</v>
      </c>
      <c r="U7" s="280">
        <f t="shared" si="10"/>
        <v>4.9999999999999822</v>
      </c>
      <c r="V7" s="284">
        <f t="shared" si="7"/>
        <v>49.999999999999986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-97.999999999999318</v>
      </c>
      <c r="AF7" s="281">
        <f t="shared" si="9"/>
        <v>0.95100000000000029</v>
      </c>
      <c r="AG7" s="573"/>
    </row>
    <row r="8" spans="1:33">
      <c r="A8" s="606" t="s">
        <v>1597</v>
      </c>
      <c r="B8" s="39" t="s">
        <v>1598</v>
      </c>
      <c r="C8" s="576"/>
      <c r="D8" s="576"/>
      <c r="E8" s="282"/>
      <c r="F8" s="42"/>
      <c r="G8" s="18"/>
      <c r="H8" s="285"/>
      <c r="I8" s="32">
        <v>16</v>
      </c>
      <c r="J8" s="43">
        <v>2000</v>
      </c>
      <c r="K8" s="18">
        <f t="shared" si="1"/>
        <v>125</v>
      </c>
      <c r="L8" s="32">
        <v>16</v>
      </c>
      <c r="M8" s="19">
        <f>AVERAGE(M5:M7)</f>
        <v>1917.4700665188473</v>
      </c>
      <c r="N8" s="18">
        <f t="shared" si="3"/>
        <v>119.84187915742795</v>
      </c>
      <c r="O8" s="20">
        <f t="shared" si="4"/>
        <v>0</v>
      </c>
      <c r="P8" s="21">
        <f t="shared" si="5"/>
        <v>-5.1581208425720462</v>
      </c>
      <c r="Q8" s="281">
        <f t="shared" si="6"/>
        <v>0.95873503325942366</v>
      </c>
      <c r="R8" s="573"/>
      <c r="S8" s="49"/>
      <c r="T8" s="49"/>
      <c r="U8" s="280"/>
      <c r="V8" s="284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-82.529933481152739</v>
      </c>
      <c r="AF8" s="281">
        <f t="shared" si="9"/>
        <v>0.95873503325942366</v>
      </c>
      <c r="AG8" s="573"/>
    </row>
    <row r="9" spans="1:33" ht="15.75" customHeight="1">
      <c r="A9" s="602" t="s">
        <v>1599</v>
      </c>
      <c r="B9" s="39" t="s">
        <v>79</v>
      </c>
      <c r="C9" s="598" t="s">
        <v>80</v>
      </c>
      <c r="D9" s="599"/>
      <c r="E9" s="39">
        <v>39.619999999999997</v>
      </c>
      <c r="F9" s="285">
        <v>4020</v>
      </c>
      <c r="G9" s="280">
        <f t="shared" ref="G9:G10" si="11">E9*F9</f>
        <v>159272.4</v>
      </c>
      <c r="H9" s="48" t="s">
        <v>126</v>
      </c>
      <c r="I9" s="283">
        <v>19</v>
      </c>
      <c r="J9" s="43">
        <v>1500</v>
      </c>
      <c r="K9" s="18">
        <f t="shared" si="1"/>
        <v>78.94736842105263</v>
      </c>
      <c r="L9" s="283">
        <v>19</v>
      </c>
      <c r="M9" s="19">
        <f t="shared" ref="M9:M10" si="12">F9/V9*60</f>
        <v>1427.2189349112427</v>
      </c>
      <c r="N9" s="18">
        <f t="shared" si="3"/>
        <v>75.116786047960147</v>
      </c>
      <c r="O9" s="20">
        <f t="shared" si="4"/>
        <v>0</v>
      </c>
      <c r="P9" s="21">
        <f t="shared" si="5"/>
        <v>-3.8305823730924828</v>
      </c>
      <c r="Q9" s="281">
        <f t="shared" si="6"/>
        <v>0.95147928994082853</v>
      </c>
      <c r="R9" s="573">
        <f>Q11</f>
        <v>0.95092636696211541</v>
      </c>
      <c r="S9" s="49">
        <v>0.20833333333333334</v>
      </c>
      <c r="T9" s="49">
        <v>0.32569444444444445</v>
      </c>
      <c r="U9" s="280"/>
      <c r="V9" s="284">
        <f t="shared" ref="V9:V10" si="13">(T9-S9)*24*60</f>
        <v>169</v>
      </c>
      <c r="W9" s="25"/>
      <c r="X9" s="25"/>
      <c r="Y9" s="25"/>
      <c r="Z9" s="25"/>
      <c r="AA9" s="575"/>
      <c r="AB9" s="575"/>
      <c r="AC9" s="50">
        <v>2</v>
      </c>
      <c r="AD9" s="27"/>
      <c r="AE9" s="20">
        <f t="shared" si="8"/>
        <v>-72.781065088757259</v>
      </c>
      <c r="AF9" s="281">
        <f t="shared" si="9"/>
        <v>0.95147928994082853</v>
      </c>
      <c r="AG9" s="573">
        <f>AF11</f>
        <v>0.9509263669621153</v>
      </c>
    </row>
    <row r="10" spans="1:33" ht="15.75" customHeight="1">
      <c r="A10" s="602" t="s">
        <v>1600</v>
      </c>
      <c r="B10" s="39" t="s">
        <v>79</v>
      </c>
      <c r="C10" s="598" t="s">
        <v>81</v>
      </c>
      <c r="D10" s="599"/>
      <c r="E10" s="39">
        <v>39.799999999999997</v>
      </c>
      <c r="F10" s="285">
        <v>5726</v>
      </c>
      <c r="G10" s="280">
        <f t="shared" si="11"/>
        <v>227894.8</v>
      </c>
      <c r="H10" s="48" t="s">
        <v>126</v>
      </c>
      <c r="I10" s="283">
        <v>17</v>
      </c>
      <c r="J10" s="43">
        <v>1500</v>
      </c>
      <c r="K10" s="18">
        <f t="shared" si="1"/>
        <v>88.235294117647058</v>
      </c>
      <c r="L10" s="283">
        <v>17</v>
      </c>
      <c r="M10" s="19">
        <f t="shared" si="12"/>
        <v>1425.5601659751032</v>
      </c>
      <c r="N10" s="18">
        <f t="shared" si="3"/>
        <v>83.856480351476662</v>
      </c>
      <c r="O10" s="20">
        <f t="shared" si="4"/>
        <v>0</v>
      </c>
      <c r="P10" s="21">
        <f t="shared" si="5"/>
        <v>-4.3788137661703956</v>
      </c>
      <c r="Q10" s="281">
        <f t="shared" si="6"/>
        <v>0.95037344398340218</v>
      </c>
      <c r="R10" s="573"/>
      <c r="S10" s="49">
        <v>0.33055555555555555</v>
      </c>
      <c r="T10" s="49">
        <v>0.49791666666666667</v>
      </c>
      <c r="U10" s="280">
        <f t="shared" ref="U10" si="14">IF(S10=TIME(17,0,0),"",(S10-T9)*24*60)</f>
        <v>6.9999999999999751</v>
      </c>
      <c r="V10" s="284">
        <f t="shared" si="13"/>
        <v>241.00000000000006</v>
      </c>
      <c r="W10" s="25"/>
      <c r="X10" s="25"/>
      <c r="Y10" s="25"/>
      <c r="Z10" s="25"/>
      <c r="AA10" s="575"/>
      <c r="AB10" s="575"/>
      <c r="AC10" s="50"/>
      <c r="AD10" s="27"/>
      <c r="AE10" s="20">
        <f t="shared" si="8"/>
        <v>-74.439834024896754</v>
      </c>
      <c r="AF10" s="281">
        <f t="shared" si="9"/>
        <v>0.95037344398340218</v>
      </c>
      <c r="AG10" s="573"/>
    </row>
    <row r="11" spans="1:33" ht="16.5" customHeight="1">
      <c r="A11" s="602" t="s">
        <v>1600</v>
      </c>
      <c r="B11" s="39" t="s">
        <v>1601</v>
      </c>
      <c r="C11" s="576"/>
      <c r="D11" s="576"/>
      <c r="E11" s="282"/>
      <c r="F11" s="43"/>
      <c r="G11" s="19"/>
      <c r="H11" s="285"/>
      <c r="I11" s="32">
        <v>18</v>
      </c>
      <c r="J11" s="43">
        <v>1500</v>
      </c>
      <c r="K11" s="18">
        <f t="shared" si="1"/>
        <v>83.333333333333329</v>
      </c>
      <c r="L11" s="32">
        <v>18</v>
      </c>
      <c r="M11" s="19">
        <f>AVERAGE(M9:M10)</f>
        <v>1426.389550443173</v>
      </c>
      <c r="N11" s="18">
        <f t="shared" si="3"/>
        <v>79.243863913509614</v>
      </c>
      <c r="O11" s="20">
        <f t="shared" si="4"/>
        <v>0</v>
      </c>
      <c r="P11" s="21">
        <f t="shared" si="5"/>
        <v>-4.0894694198237147</v>
      </c>
      <c r="Q11" s="281">
        <f t="shared" si="6"/>
        <v>0.95092636696211541</v>
      </c>
      <c r="R11" s="573"/>
      <c r="S11" s="49"/>
      <c r="T11" s="49"/>
      <c r="U11" s="18"/>
      <c r="V11" s="284"/>
      <c r="W11" s="18"/>
      <c r="X11" s="18"/>
      <c r="Y11" s="33">
        <f>SUM(Y9:Y10)</f>
        <v>0</v>
      </c>
      <c r="Z11" s="33">
        <f>SUM(Z9:Z10)</f>
        <v>0</v>
      </c>
      <c r="AA11" s="572"/>
      <c r="AB11" s="572"/>
      <c r="AC11" s="33">
        <v>2</v>
      </c>
      <c r="AD11" s="33">
        <f>SUM(AD9:AD10)</f>
        <v>0</v>
      </c>
      <c r="AE11" s="20">
        <f t="shared" si="8"/>
        <v>-73.610449556827007</v>
      </c>
      <c r="AF11" s="281">
        <f t="shared" si="9"/>
        <v>0.9509263669621153</v>
      </c>
      <c r="AG11" s="573"/>
    </row>
    <row r="12" spans="1:33" ht="16.5" customHeight="1">
      <c r="A12" s="600" t="s">
        <v>1602</v>
      </c>
      <c r="B12" s="285" t="s">
        <v>82</v>
      </c>
      <c r="C12" s="594" t="s">
        <v>83</v>
      </c>
      <c r="D12" s="594"/>
      <c r="E12" s="39">
        <v>41</v>
      </c>
      <c r="F12" s="285">
        <v>1581</v>
      </c>
      <c r="G12" s="280">
        <f t="shared" ref="G12:G14" si="15">E12*F12</f>
        <v>64821</v>
      </c>
      <c r="H12" s="48" t="s">
        <v>126</v>
      </c>
      <c r="I12" s="283">
        <v>26</v>
      </c>
      <c r="J12" s="43">
        <v>1500</v>
      </c>
      <c r="K12" s="18">
        <f t="shared" si="1"/>
        <v>57.692307692307693</v>
      </c>
      <c r="L12" s="283">
        <v>26</v>
      </c>
      <c r="M12" s="19">
        <f t="shared" ref="M12:M14" si="16">F12/V12*60</f>
        <v>1437.2727272727279</v>
      </c>
      <c r="N12" s="18">
        <f t="shared" si="3"/>
        <v>55.279720279720308</v>
      </c>
      <c r="O12" s="20">
        <f t="shared" si="4"/>
        <v>0</v>
      </c>
      <c r="P12" s="21">
        <f t="shared" si="5"/>
        <v>-2.412587412587385</v>
      </c>
      <c r="Q12" s="281">
        <f t="shared" si="6"/>
        <v>0.95818181818181869</v>
      </c>
      <c r="R12" s="573">
        <f>Q15</f>
        <v>0.95788932806324156</v>
      </c>
      <c r="S12" s="49">
        <v>0.20833333333333334</v>
      </c>
      <c r="T12" s="49">
        <v>0.25416666666666665</v>
      </c>
      <c r="U12" s="280"/>
      <c r="V12" s="284">
        <f t="shared" ref="V12:V14" si="17">(T12-S12)*24*60</f>
        <v>65.999999999999972</v>
      </c>
      <c r="W12" s="30"/>
      <c r="X12" s="30"/>
      <c r="Y12" s="30"/>
      <c r="Z12" s="30"/>
      <c r="AA12" s="575"/>
      <c r="AB12" s="575"/>
      <c r="AC12" s="50">
        <v>3</v>
      </c>
      <c r="AD12" s="27"/>
      <c r="AE12" s="20">
        <f t="shared" si="8"/>
        <v>-62.727272727272066</v>
      </c>
      <c r="AF12" s="281">
        <f t="shared" si="9"/>
        <v>0.95818181818181858</v>
      </c>
      <c r="AG12" s="573">
        <f>AF15</f>
        <v>0.95788932806324156</v>
      </c>
    </row>
    <row r="13" spans="1:33" ht="16.5" customHeight="1">
      <c r="A13" s="601" t="s">
        <v>1603</v>
      </c>
      <c r="B13" s="285" t="s">
        <v>74</v>
      </c>
      <c r="C13" s="594" t="s">
        <v>85</v>
      </c>
      <c r="D13" s="594"/>
      <c r="E13" s="39">
        <v>53.68</v>
      </c>
      <c r="F13" s="285">
        <v>1098</v>
      </c>
      <c r="G13" s="280">
        <f t="shared" si="15"/>
        <v>58940.639999999999</v>
      </c>
      <c r="H13" s="48" t="s">
        <v>126</v>
      </c>
      <c r="I13" s="283">
        <v>16</v>
      </c>
      <c r="J13" s="43">
        <v>1500</v>
      </c>
      <c r="K13" s="18">
        <f t="shared" si="1"/>
        <v>93.75</v>
      </c>
      <c r="L13" s="283">
        <v>16</v>
      </c>
      <c r="M13" s="19">
        <f t="shared" si="16"/>
        <v>1432.1739130434783</v>
      </c>
      <c r="N13" s="18">
        <f t="shared" si="3"/>
        <v>89.510869565217391</v>
      </c>
      <c r="O13" s="20">
        <f t="shared" si="4"/>
        <v>0</v>
      </c>
      <c r="P13" s="21">
        <f t="shared" si="5"/>
        <v>-4.2391304347826093</v>
      </c>
      <c r="Q13" s="281">
        <f t="shared" si="6"/>
        <v>0.95478260869565212</v>
      </c>
      <c r="R13" s="573"/>
      <c r="S13" s="49">
        <v>0.70833333333333337</v>
      </c>
      <c r="T13" s="49">
        <v>0.74027777777777781</v>
      </c>
      <c r="U13" s="280" t="str">
        <f t="shared" ref="U13:U14" si="18">IF(S13=TIME(17,0,0),"",(S13-T12)*24*60)</f>
        <v/>
      </c>
      <c r="V13" s="284">
        <f t="shared" si="17"/>
        <v>46</v>
      </c>
      <c r="W13" s="25"/>
      <c r="X13" s="25"/>
      <c r="Y13" s="25"/>
      <c r="Z13" s="25"/>
      <c r="AA13" s="575"/>
      <c r="AB13" s="575"/>
      <c r="AC13" s="50"/>
      <c r="AD13" s="27"/>
      <c r="AE13" s="20">
        <f t="shared" si="8"/>
        <v>-67.826086956521749</v>
      </c>
      <c r="AF13" s="281">
        <f t="shared" si="9"/>
        <v>0.95478260869565212</v>
      </c>
      <c r="AG13" s="573"/>
    </row>
    <row r="14" spans="1:33" ht="16.5" customHeight="1">
      <c r="A14" s="601" t="s">
        <v>1604</v>
      </c>
      <c r="B14" s="285" t="s">
        <v>74</v>
      </c>
      <c r="C14" s="594" t="s">
        <v>86</v>
      </c>
      <c r="D14" s="594"/>
      <c r="E14" s="39">
        <v>50.92</v>
      </c>
      <c r="F14" s="285">
        <v>2048</v>
      </c>
      <c r="G14" s="280">
        <f t="shared" si="15"/>
        <v>104284.16</v>
      </c>
      <c r="H14" s="48" t="s">
        <v>126</v>
      </c>
      <c r="I14" s="283">
        <v>15</v>
      </c>
      <c r="J14" s="43">
        <v>2000</v>
      </c>
      <c r="K14" s="18">
        <f t="shared" si="1"/>
        <v>133.33333333333334</v>
      </c>
      <c r="L14" s="283">
        <v>15</v>
      </c>
      <c r="M14" s="19">
        <f t="shared" si="16"/>
        <v>1920.000000000002</v>
      </c>
      <c r="N14" s="18">
        <f t="shared" si="3"/>
        <v>128.00000000000014</v>
      </c>
      <c r="O14" s="20">
        <f t="shared" si="4"/>
        <v>0</v>
      </c>
      <c r="P14" s="21">
        <f t="shared" si="5"/>
        <v>-5.3333333333332007</v>
      </c>
      <c r="Q14" s="281">
        <f t="shared" si="6"/>
        <v>0.96000000000000096</v>
      </c>
      <c r="R14" s="573"/>
      <c r="S14" s="49">
        <v>0.74375000000000002</v>
      </c>
      <c r="T14" s="49">
        <v>0.78819444444444442</v>
      </c>
      <c r="U14" s="280">
        <f t="shared" si="18"/>
        <v>4.9999999999999822</v>
      </c>
      <c r="V14" s="284">
        <f t="shared" si="17"/>
        <v>63.999999999999929</v>
      </c>
      <c r="W14" s="25"/>
      <c r="X14" s="25"/>
      <c r="Y14" s="25"/>
      <c r="Z14" s="25"/>
      <c r="AA14" s="575"/>
      <c r="AB14" s="575"/>
      <c r="AC14" s="50"/>
      <c r="AD14" s="27"/>
      <c r="AE14" s="20">
        <f t="shared" si="8"/>
        <v>-79.999999999997954</v>
      </c>
      <c r="AF14" s="281">
        <f t="shared" si="9"/>
        <v>0.96000000000000107</v>
      </c>
      <c r="AG14" s="573"/>
    </row>
    <row r="15" spans="1:33" ht="16.5" customHeight="1">
      <c r="A15" s="601" t="s">
        <v>1605</v>
      </c>
      <c r="B15" s="39" t="s">
        <v>1606</v>
      </c>
      <c r="C15" s="576"/>
      <c r="D15" s="576"/>
      <c r="E15" s="282"/>
      <c r="F15" s="42"/>
      <c r="G15" s="18"/>
      <c r="H15" s="285"/>
      <c r="I15" s="32">
        <v>19</v>
      </c>
      <c r="J15" s="43">
        <v>1666.6666666666667</v>
      </c>
      <c r="K15" s="18">
        <f t="shared" si="1"/>
        <v>87.719298245614041</v>
      </c>
      <c r="L15" s="32">
        <v>19</v>
      </c>
      <c r="M15" s="19">
        <f>AVERAGE(M12:M14)</f>
        <v>1596.4822134387359</v>
      </c>
      <c r="N15" s="18">
        <f t="shared" si="3"/>
        <v>84.025379654670317</v>
      </c>
      <c r="O15" s="20">
        <f t="shared" si="4"/>
        <v>0</v>
      </c>
      <c r="P15" s="21">
        <f t="shared" si="5"/>
        <v>-3.6939185909437242</v>
      </c>
      <c r="Q15" s="281">
        <f t="shared" si="6"/>
        <v>0.95788932806324156</v>
      </c>
      <c r="R15" s="573"/>
      <c r="S15" s="49"/>
      <c r="T15" s="49"/>
      <c r="U15" s="280"/>
      <c r="V15" s="284"/>
      <c r="W15" s="18"/>
      <c r="X15" s="18"/>
      <c r="Y15" s="33">
        <f>SUM(Y12:Y14)</f>
        <v>0</v>
      </c>
      <c r="Z15" s="33">
        <f>SUM(Z12:Z14)</f>
        <v>0</v>
      </c>
      <c r="AA15" s="572"/>
      <c r="AB15" s="572"/>
      <c r="AC15" s="33">
        <v>3</v>
      </c>
      <c r="AD15" s="33">
        <f>SUM(AD12:AD14)</f>
        <v>0</v>
      </c>
      <c r="AE15" s="20">
        <f t="shared" si="8"/>
        <v>-70.184453227930817</v>
      </c>
      <c r="AF15" s="281">
        <f t="shared" si="9"/>
        <v>0.95788932806324156</v>
      </c>
      <c r="AG15" s="573"/>
    </row>
    <row r="16" spans="1:33" ht="15.75" customHeight="1">
      <c r="A16" s="596" t="s">
        <v>1607</v>
      </c>
      <c r="B16" s="39" t="s">
        <v>74</v>
      </c>
      <c r="C16" s="594" t="s">
        <v>84</v>
      </c>
      <c r="D16" s="594"/>
      <c r="E16" s="39">
        <v>54.09</v>
      </c>
      <c r="F16" s="285">
        <v>1981</v>
      </c>
      <c r="G16" s="280">
        <f t="shared" ref="G16:G21" si="19">E16*F16</f>
        <v>107152.29000000001</v>
      </c>
      <c r="H16" s="48" t="s">
        <v>126</v>
      </c>
      <c r="I16" s="283">
        <v>17</v>
      </c>
      <c r="J16" s="43">
        <v>1500</v>
      </c>
      <c r="K16" s="18">
        <f t="shared" si="1"/>
        <v>88.235294117647058</v>
      </c>
      <c r="L16" s="283">
        <v>17</v>
      </c>
      <c r="M16" s="19">
        <f t="shared" ref="M16:M21" si="20">F16/V16*60</f>
        <v>1432.0481927710846</v>
      </c>
      <c r="N16" s="18">
        <f t="shared" si="3"/>
        <v>84.238128986534392</v>
      </c>
      <c r="O16" s="20">
        <f t="shared" si="4"/>
        <v>0</v>
      </c>
      <c r="P16" s="21">
        <f t="shared" si="5"/>
        <v>-3.9971651311126664</v>
      </c>
      <c r="Q16" s="281">
        <f t="shared" si="6"/>
        <v>0.95469879518072309</v>
      </c>
      <c r="R16" s="573">
        <f>Q22</f>
        <v>0.95847804066356956</v>
      </c>
      <c r="S16" s="49">
        <v>0.20833333333333334</v>
      </c>
      <c r="T16" s="49">
        <v>0.26597222222222222</v>
      </c>
      <c r="U16" s="280"/>
      <c r="V16" s="284">
        <f t="shared" ref="V16:V21" si="21">(T16-S16)*24*60</f>
        <v>82.999999999999986</v>
      </c>
      <c r="W16" s="30"/>
      <c r="X16" s="30"/>
      <c r="Y16" s="30"/>
      <c r="Z16" s="30"/>
      <c r="AA16" s="575"/>
      <c r="AB16" s="575"/>
      <c r="AC16" s="50">
        <v>6</v>
      </c>
      <c r="AD16" s="27"/>
      <c r="AE16" s="20">
        <f t="shared" si="8"/>
        <v>-67.951807228915413</v>
      </c>
      <c r="AF16" s="281">
        <f t="shared" si="9"/>
        <v>0.95469879518072309</v>
      </c>
      <c r="AG16" s="573">
        <f>AF22</f>
        <v>0.95847804066356956</v>
      </c>
    </row>
    <row r="17" spans="1:33" ht="15.75" customHeight="1">
      <c r="A17" s="597" t="s">
        <v>1608</v>
      </c>
      <c r="B17" s="39" t="s">
        <v>74</v>
      </c>
      <c r="C17" s="594" t="s">
        <v>89</v>
      </c>
      <c r="D17" s="594"/>
      <c r="E17" s="39">
        <v>50.67</v>
      </c>
      <c r="F17" s="285">
        <v>1829</v>
      </c>
      <c r="G17" s="280">
        <f t="shared" si="19"/>
        <v>92675.430000000008</v>
      </c>
      <c r="H17" s="48" t="s">
        <v>126</v>
      </c>
      <c r="I17" s="283">
        <v>17</v>
      </c>
      <c r="J17" s="43">
        <v>2000</v>
      </c>
      <c r="K17" s="18">
        <f t="shared" si="1"/>
        <v>117.64705882352941</v>
      </c>
      <c r="L17" s="283">
        <v>17</v>
      </c>
      <c r="M17" s="19">
        <f t="shared" si="20"/>
        <v>1925.2631578947357</v>
      </c>
      <c r="N17" s="18">
        <f t="shared" si="3"/>
        <v>113.25077399380798</v>
      </c>
      <c r="O17" s="20">
        <f t="shared" si="4"/>
        <v>0</v>
      </c>
      <c r="P17" s="21">
        <f t="shared" si="5"/>
        <v>-4.3962848297214236</v>
      </c>
      <c r="Q17" s="281">
        <f t="shared" si="6"/>
        <v>0.96263157894736795</v>
      </c>
      <c r="R17" s="573"/>
      <c r="S17" s="49">
        <v>0.27013888888888887</v>
      </c>
      <c r="T17" s="49">
        <v>0.30972222222222223</v>
      </c>
      <c r="U17" s="280">
        <f t="shared" ref="U17:U21" si="22">IF(S17=TIME(17,0,0),"",(S17-T16)*24*60)</f>
        <v>5.9999999999999787</v>
      </c>
      <c r="V17" s="284">
        <f t="shared" si="21"/>
        <v>57.000000000000036</v>
      </c>
      <c r="W17" s="25"/>
      <c r="X17" s="280"/>
      <c r="Y17" s="280"/>
      <c r="Z17" s="280"/>
      <c r="AA17" s="575"/>
      <c r="AB17" s="575"/>
      <c r="AC17" s="50"/>
      <c r="AD17" s="27"/>
      <c r="AE17" s="20">
        <f t="shared" si="8"/>
        <v>-74.736842105264259</v>
      </c>
      <c r="AF17" s="281">
        <f t="shared" si="9"/>
        <v>0.96263157894736784</v>
      </c>
      <c r="AG17" s="573"/>
    </row>
    <row r="18" spans="1:33" ht="15.75" customHeight="1">
      <c r="A18" s="597" t="s">
        <v>1608</v>
      </c>
      <c r="B18" s="39" t="s">
        <v>74</v>
      </c>
      <c r="C18" s="594" t="s">
        <v>90</v>
      </c>
      <c r="D18" s="594"/>
      <c r="E18" s="39">
        <v>57.73</v>
      </c>
      <c r="F18" s="285">
        <v>2030</v>
      </c>
      <c r="G18" s="280">
        <f t="shared" si="19"/>
        <v>117191.9</v>
      </c>
      <c r="H18" s="48" t="s">
        <v>126</v>
      </c>
      <c r="I18" s="283">
        <v>14</v>
      </c>
      <c r="J18" s="43">
        <v>2000</v>
      </c>
      <c r="K18" s="18">
        <f t="shared" si="1"/>
        <v>142.85714285714286</v>
      </c>
      <c r="L18" s="283">
        <v>14</v>
      </c>
      <c r="M18" s="19">
        <f t="shared" si="20"/>
        <v>1903.1249999999995</v>
      </c>
      <c r="N18" s="18">
        <f t="shared" si="3"/>
        <v>135.93749999999997</v>
      </c>
      <c r="O18" s="20">
        <f t="shared" si="4"/>
        <v>0</v>
      </c>
      <c r="P18" s="21">
        <f t="shared" si="5"/>
        <v>-6.9196428571428896</v>
      </c>
      <c r="Q18" s="281">
        <f t="shared" si="6"/>
        <v>0.95156249999999976</v>
      </c>
      <c r="R18" s="573"/>
      <c r="S18" s="49">
        <v>0.31527777777777777</v>
      </c>
      <c r="T18" s="49">
        <v>0.35972222222222222</v>
      </c>
      <c r="U18" s="280">
        <f t="shared" si="22"/>
        <v>7.9999999999999716</v>
      </c>
      <c r="V18" s="284">
        <f t="shared" si="21"/>
        <v>64.000000000000014</v>
      </c>
      <c r="W18" s="25"/>
      <c r="X18" s="280"/>
      <c r="Y18" s="280"/>
      <c r="Z18" s="280"/>
      <c r="AA18" s="575"/>
      <c r="AB18" s="575"/>
      <c r="AC18" s="50"/>
      <c r="AD18" s="27"/>
      <c r="AE18" s="20">
        <f t="shared" si="8"/>
        <v>-96.875000000000455</v>
      </c>
      <c r="AF18" s="281">
        <f t="shared" si="9"/>
        <v>0.95156249999999976</v>
      </c>
      <c r="AG18" s="573"/>
    </row>
    <row r="19" spans="1:33" ht="15.75" customHeight="1">
      <c r="A19" s="597" t="s">
        <v>1609</v>
      </c>
      <c r="B19" s="39" t="s">
        <v>74</v>
      </c>
      <c r="C19" s="594" t="s">
        <v>1232</v>
      </c>
      <c r="D19" s="594"/>
      <c r="E19" s="39">
        <v>53.27</v>
      </c>
      <c r="F19" s="285">
        <v>2343</v>
      </c>
      <c r="G19" s="280">
        <f t="shared" si="19"/>
        <v>124811.61</v>
      </c>
      <c r="H19" s="48" t="s">
        <v>126</v>
      </c>
      <c r="I19" s="283">
        <v>16</v>
      </c>
      <c r="J19" s="43">
        <v>2000</v>
      </c>
      <c r="K19" s="18">
        <f t="shared" si="1"/>
        <v>125</v>
      </c>
      <c r="L19" s="283">
        <v>16</v>
      </c>
      <c r="M19" s="19">
        <f t="shared" si="20"/>
        <v>1925.7534246575344</v>
      </c>
      <c r="N19" s="18">
        <f t="shared" si="3"/>
        <v>120.3595890410959</v>
      </c>
      <c r="O19" s="20">
        <f t="shared" si="4"/>
        <v>0</v>
      </c>
      <c r="P19" s="21">
        <f t="shared" si="5"/>
        <v>-4.6404109589040985</v>
      </c>
      <c r="Q19" s="281">
        <f t="shared" si="6"/>
        <v>0.96287671232876726</v>
      </c>
      <c r="R19" s="573"/>
      <c r="S19" s="49">
        <v>0.36388888888888887</v>
      </c>
      <c r="T19" s="49">
        <v>0.4145833333333333</v>
      </c>
      <c r="U19" s="280">
        <f t="shared" si="22"/>
        <v>5.9999999999999787</v>
      </c>
      <c r="V19" s="284">
        <f t="shared" si="21"/>
        <v>72.999999999999986</v>
      </c>
      <c r="W19" s="25"/>
      <c r="X19" s="280"/>
      <c r="Y19" s="280"/>
      <c r="Z19" s="280"/>
      <c r="AA19" s="575"/>
      <c r="AB19" s="575"/>
      <c r="AC19" s="50"/>
      <c r="AD19" s="27"/>
      <c r="AE19" s="20">
        <f t="shared" si="8"/>
        <v>-74.246575342465576</v>
      </c>
      <c r="AF19" s="281">
        <f t="shared" si="9"/>
        <v>0.96287671232876726</v>
      </c>
      <c r="AG19" s="573"/>
    </row>
    <row r="20" spans="1:33" ht="15.75" customHeight="1">
      <c r="A20" s="597" t="s">
        <v>1610</v>
      </c>
      <c r="B20" s="39" t="s">
        <v>74</v>
      </c>
      <c r="C20" s="594" t="s">
        <v>92</v>
      </c>
      <c r="D20" s="594"/>
      <c r="E20" s="39">
        <v>50.49</v>
      </c>
      <c r="F20" s="285">
        <v>1792</v>
      </c>
      <c r="G20" s="280">
        <f t="shared" si="19"/>
        <v>90478.080000000002</v>
      </c>
      <c r="H20" s="48" t="s">
        <v>126</v>
      </c>
      <c r="I20" s="283">
        <v>15</v>
      </c>
      <c r="J20" s="43">
        <v>2000</v>
      </c>
      <c r="K20" s="18">
        <f t="shared" si="1"/>
        <v>133.33333333333334</v>
      </c>
      <c r="L20" s="283">
        <v>15</v>
      </c>
      <c r="M20" s="19">
        <f t="shared" si="20"/>
        <v>1920.0000000000014</v>
      </c>
      <c r="N20" s="18">
        <f t="shared" si="3"/>
        <v>128.00000000000009</v>
      </c>
      <c r="O20" s="20">
        <f t="shared" si="4"/>
        <v>0</v>
      </c>
      <c r="P20" s="21">
        <f t="shared" si="5"/>
        <v>-5.3333333333332575</v>
      </c>
      <c r="Q20" s="281">
        <f t="shared" si="6"/>
        <v>0.96000000000000052</v>
      </c>
      <c r="R20" s="573"/>
      <c r="S20" s="49">
        <v>0.70833333333333337</v>
      </c>
      <c r="T20" s="49">
        <v>0.74722222222222223</v>
      </c>
      <c r="U20" s="280" t="str">
        <f t="shared" si="22"/>
        <v/>
      </c>
      <c r="V20" s="284">
        <f t="shared" si="21"/>
        <v>55.999999999999957</v>
      </c>
      <c r="W20" s="25"/>
      <c r="X20" s="25"/>
      <c r="Y20" s="280"/>
      <c r="Z20" s="280"/>
      <c r="AA20" s="575"/>
      <c r="AB20" s="575"/>
      <c r="AC20" s="50"/>
      <c r="AD20" s="27"/>
      <c r="AE20" s="20">
        <f t="shared" si="8"/>
        <v>-79.999999999998636</v>
      </c>
      <c r="AF20" s="281">
        <f t="shared" si="9"/>
        <v>0.96000000000000063</v>
      </c>
      <c r="AG20" s="573"/>
    </row>
    <row r="21" spans="1:33" ht="15.75" customHeight="1">
      <c r="A21" s="597" t="s">
        <v>1611</v>
      </c>
      <c r="B21" s="39" t="s">
        <v>74</v>
      </c>
      <c r="C21" s="594" t="s">
        <v>93</v>
      </c>
      <c r="D21" s="594"/>
      <c r="E21" s="39">
        <v>50.98</v>
      </c>
      <c r="F21" s="285">
        <v>2076</v>
      </c>
      <c r="G21" s="280">
        <f t="shared" si="19"/>
        <v>105834.48</v>
      </c>
      <c r="H21" s="48" t="s">
        <v>126</v>
      </c>
      <c r="I21" s="283">
        <v>16</v>
      </c>
      <c r="J21" s="43">
        <v>2000</v>
      </c>
      <c r="K21" s="18">
        <f t="shared" si="1"/>
        <v>125</v>
      </c>
      <c r="L21" s="283">
        <v>16</v>
      </c>
      <c r="M21" s="19">
        <f t="shared" si="20"/>
        <v>1916.3076923076944</v>
      </c>
      <c r="N21" s="18">
        <f t="shared" si="3"/>
        <v>119.7692307692309</v>
      </c>
      <c r="O21" s="20">
        <f t="shared" si="4"/>
        <v>0</v>
      </c>
      <c r="P21" s="21">
        <f t="shared" si="5"/>
        <v>-5.2307692307690985</v>
      </c>
      <c r="Q21" s="281">
        <f t="shared" si="6"/>
        <v>0.95815384615384724</v>
      </c>
      <c r="R21" s="573"/>
      <c r="S21" s="49">
        <v>0.75277777777777777</v>
      </c>
      <c r="T21" s="49">
        <v>0.79791666666666661</v>
      </c>
      <c r="U21" s="280">
        <f t="shared" si="22"/>
        <v>7.9999999999999716</v>
      </c>
      <c r="V21" s="284">
        <f t="shared" si="21"/>
        <v>64.999999999999929</v>
      </c>
      <c r="W21" s="25"/>
      <c r="X21" s="30"/>
      <c r="Y21" s="30"/>
      <c r="Z21" s="30"/>
      <c r="AA21" s="575"/>
      <c r="AB21" s="575"/>
      <c r="AC21" s="50"/>
      <c r="AD21" s="27"/>
      <c r="AE21" s="20">
        <f t="shared" si="8"/>
        <v>-83.692307692305576</v>
      </c>
      <c r="AF21" s="281">
        <f t="shared" si="9"/>
        <v>0.95815384615384724</v>
      </c>
      <c r="AG21" s="573"/>
    </row>
    <row r="22" spans="1:33" ht="15.75" customHeight="1">
      <c r="A22" s="597" t="s">
        <v>1608</v>
      </c>
      <c r="B22" s="39" t="s">
        <v>1612</v>
      </c>
      <c r="C22" s="576"/>
      <c r="D22" s="576"/>
      <c r="E22" s="282"/>
      <c r="F22" s="285"/>
      <c r="G22" s="280"/>
      <c r="H22" s="285"/>
      <c r="I22" s="32">
        <v>15.833333333333334</v>
      </c>
      <c r="J22" s="43">
        <v>1916.6666666666667</v>
      </c>
      <c r="K22" s="18">
        <f t="shared" si="1"/>
        <v>121.05263157894737</v>
      </c>
      <c r="L22" s="32">
        <v>15.833333333333334</v>
      </c>
      <c r="M22" s="19">
        <f>AVERAGE(M16:M21)</f>
        <v>1837.0829112718418</v>
      </c>
      <c r="N22" s="18">
        <f t="shared" si="3"/>
        <v>116.02628913295842</v>
      </c>
      <c r="O22" s="20">
        <f t="shared" si="4"/>
        <v>0</v>
      </c>
      <c r="P22" s="21">
        <f t="shared" si="5"/>
        <v>-5.026342445988945</v>
      </c>
      <c r="Q22" s="281">
        <f t="shared" si="6"/>
        <v>0.95847804066356956</v>
      </c>
      <c r="R22" s="573"/>
      <c r="S22" s="49"/>
      <c r="T22" s="49"/>
      <c r="U22" s="18"/>
      <c r="V22" s="284"/>
      <c r="W22" s="18"/>
      <c r="X22" s="18"/>
      <c r="Y22" s="33">
        <f>SUM(Y16:Y21)</f>
        <v>0</v>
      </c>
      <c r="Z22" s="33">
        <f>SUM(Z16:Z21)</f>
        <v>0</v>
      </c>
      <c r="AA22" s="572"/>
      <c r="AB22" s="572"/>
      <c r="AC22" s="33">
        <v>6</v>
      </c>
      <c r="AD22" s="33">
        <f>SUM(AD16:AD21)</f>
        <v>0</v>
      </c>
      <c r="AE22" s="20">
        <f t="shared" si="8"/>
        <v>-79.583755394824948</v>
      </c>
      <c r="AF22" s="281">
        <f t="shared" si="9"/>
        <v>0.95847804066356956</v>
      </c>
      <c r="AG22" s="573"/>
    </row>
    <row r="23" spans="1:33" ht="15.75" customHeight="1">
      <c r="A23" s="595" t="s">
        <v>1613</v>
      </c>
      <c r="B23" s="39" t="s">
        <v>94</v>
      </c>
      <c r="C23" s="594" t="s">
        <v>95</v>
      </c>
      <c r="D23" s="594"/>
      <c r="E23" s="39">
        <v>31.29</v>
      </c>
      <c r="F23" s="285">
        <v>3700</v>
      </c>
      <c r="G23" s="280">
        <f t="shared" ref="G23:G28" si="23">E23*F23</f>
        <v>115773</v>
      </c>
      <c r="H23" s="48">
        <v>2</v>
      </c>
      <c r="I23" s="283">
        <v>18</v>
      </c>
      <c r="J23" s="43">
        <v>2400</v>
      </c>
      <c r="K23" s="18">
        <f t="shared" si="1"/>
        <v>133.33333333333334</v>
      </c>
      <c r="L23" s="283">
        <v>18</v>
      </c>
      <c r="M23" s="19">
        <f t="shared" ref="M23:M28" si="24">F23/V23*60</f>
        <v>2288.6597938144328</v>
      </c>
      <c r="N23" s="18">
        <f t="shared" si="3"/>
        <v>127.14776632302404</v>
      </c>
      <c r="O23" s="20">
        <f t="shared" si="4"/>
        <v>0</v>
      </c>
      <c r="P23" s="21">
        <f t="shared" si="5"/>
        <v>-6.185567010309299</v>
      </c>
      <c r="Q23" s="281">
        <f t="shared" si="6"/>
        <v>0.95360824742268024</v>
      </c>
      <c r="R23" s="573">
        <f>Q29</f>
        <v>0.95691597561440622</v>
      </c>
      <c r="S23" s="49">
        <v>8.3333333333333329E-2</v>
      </c>
      <c r="T23" s="49">
        <v>0.15069444444444444</v>
      </c>
      <c r="U23" s="280"/>
      <c r="V23" s="284">
        <f t="shared" ref="V23:V28" si="25">(T23-S23)*24*60</f>
        <v>97</v>
      </c>
      <c r="W23" s="25">
        <f>T23</f>
        <v>0.15069444444444444</v>
      </c>
      <c r="X23" s="25">
        <f>S24</f>
        <v>0.1701388888888889</v>
      </c>
      <c r="Y23" s="25"/>
      <c r="Z23" s="25"/>
      <c r="AA23" s="575"/>
      <c r="AB23" s="575"/>
      <c r="AC23" s="50">
        <v>6</v>
      </c>
      <c r="AD23" s="27"/>
      <c r="AE23" s="20">
        <f t="shared" si="8"/>
        <v>-111.34020618556724</v>
      </c>
      <c r="AF23" s="281">
        <f t="shared" si="9"/>
        <v>0.95360824742268036</v>
      </c>
      <c r="AG23" s="573">
        <f>AF29</f>
        <v>0.95691597561440633</v>
      </c>
    </row>
    <row r="24" spans="1:33" ht="15.75" customHeight="1">
      <c r="A24" s="595" t="s">
        <v>1614</v>
      </c>
      <c r="B24" s="39" t="s">
        <v>94</v>
      </c>
      <c r="C24" s="594" t="s">
        <v>97</v>
      </c>
      <c r="D24" s="594"/>
      <c r="E24" s="39">
        <v>26.37</v>
      </c>
      <c r="F24" s="285">
        <v>6064</v>
      </c>
      <c r="G24" s="280">
        <f t="shared" si="23"/>
        <v>159907.68</v>
      </c>
      <c r="H24" s="48" t="s">
        <v>126</v>
      </c>
      <c r="I24" s="283">
        <v>18</v>
      </c>
      <c r="J24" s="43">
        <v>2400</v>
      </c>
      <c r="K24" s="18">
        <f t="shared" si="1"/>
        <v>133.33333333333334</v>
      </c>
      <c r="L24" s="283">
        <v>18</v>
      </c>
      <c r="M24" s="19">
        <f t="shared" si="24"/>
        <v>2288.3018867924529</v>
      </c>
      <c r="N24" s="18">
        <f t="shared" si="3"/>
        <v>127.12788259958072</v>
      </c>
      <c r="O24" s="20">
        <f t="shared" si="4"/>
        <v>0</v>
      </c>
      <c r="P24" s="21">
        <f t="shared" si="5"/>
        <v>-6.2054507337526275</v>
      </c>
      <c r="Q24" s="281">
        <f t="shared" si="6"/>
        <v>0.95345911949685525</v>
      </c>
      <c r="R24" s="573"/>
      <c r="S24" s="49">
        <v>0.1701388888888889</v>
      </c>
      <c r="T24" s="49">
        <v>0.28055555555555556</v>
      </c>
      <c r="U24" s="280">
        <f t="shared" ref="U24:U28" si="26">(S24-T23)*24*60</f>
        <v>28.000000000000021</v>
      </c>
      <c r="V24" s="284">
        <f t="shared" si="25"/>
        <v>159</v>
      </c>
      <c r="W24" s="25"/>
      <c r="X24" s="25"/>
      <c r="Y24" s="25"/>
      <c r="Z24" s="25"/>
      <c r="AA24" s="575"/>
      <c r="AB24" s="575"/>
      <c r="AC24" s="50"/>
      <c r="AD24" s="27"/>
      <c r="AE24" s="20">
        <f t="shared" si="8"/>
        <v>-111.69811320754707</v>
      </c>
      <c r="AF24" s="281">
        <f t="shared" si="9"/>
        <v>0.95345911949685536</v>
      </c>
      <c r="AG24" s="573"/>
    </row>
    <row r="25" spans="1:33" ht="15.75" customHeight="1">
      <c r="A25" s="595" t="s">
        <v>1615</v>
      </c>
      <c r="B25" s="39" t="s">
        <v>94</v>
      </c>
      <c r="C25" s="594" t="s">
        <v>529</v>
      </c>
      <c r="D25" s="594"/>
      <c r="E25" s="39">
        <v>26.18</v>
      </c>
      <c r="F25" s="285">
        <v>6000</v>
      </c>
      <c r="G25" s="280">
        <f t="shared" si="23"/>
        <v>157080</v>
      </c>
      <c r="H25" s="48" t="s">
        <v>126</v>
      </c>
      <c r="I25" s="283">
        <v>19</v>
      </c>
      <c r="J25" s="43">
        <v>2400</v>
      </c>
      <c r="K25" s="18">
        <f t="shared" si="1"/>
        <v>126.31578947368421</v>
      </c>
      <c r="L25" s="283">
        <v>19</v>
      </c>
      <c r="M25" s="19">
        <f t="shared" si="24"/>
        <v>2292.9936305732485</v>
      </c>
      <c r="N25" s="18">
        <f t="shared" si="3"/>
        <v>120.68387529332887</v>
      </c>
      <c r="O25" s="20">
        <f t="shared" si="4"/>
        <v>0</v>
      </c>
      <c r="P25" s="21">
        <f t="shared" si="5"/>
        <v>-5.6319141803553379</v>
      </c>
      <c r="Q25" s="281">
        <f t="shared" si="6"/>
        <v>0.95541401273885362</v>
      </c>
      <c r="R25" s="573"/>
      <c r="S25" s="49">
        <v>0.28472222222222221</v>
      </c>
      <c r="T25" s="49">
        <v>0.39374999999999999</v>
      </c>
      <c r="U25" s="280">
        <f t="shared" si="26"/>
        <v>5.9999999999999787</v>
      </c>
      <c r="V25" s="284">
        <f t="shared" si="25"/>
        <v>157</v>
      </c>
      <c r="W25" s="25"/>
      <c r="X25" s="25"/>
      <c r="Y25" s="25"/>
      <c r="Z25" s="25"/>
      <c r="AA25" s="575"/>
      <c r="AB25" s="575"/>
      <c r="AC25" s="50"/>
      <c r="AD25" s="27"/>
      <c r="AE25" s="20">
        <f t="shared" si="8"/>
        <v>-107.00636942675146</v>
      </c>
      <c r="AF25" s="281">
        <f t="shared" si="9"/>
        <v>0.95541401273885351</v>
      </c>
      <c r="AG25" s="573"/>
    </row>
    <row r="26" spans="1:33" ht="15.75" customHeight="1">
      <c r="A26" s="595" t="s">
        <v>1616</v>
      </c>
      <c r="B26" s="39" t="s">
        <v>94</v>
      </c>
      <c r="C26" s="594" t="s">
        <v>103</v>
      </c>
      <c r="D26" s="594"/>
      <c r="E26" s="39">
        <v>20.2</v>
      </c>
      <c r="F26" s="285">
        <v>1702</v>
      </c>
      <c r="G26" s="280">
        <f t="shared" si="23"/>
        <v>34380.400000000001</v>
      </c>
      <c r="H26" s="48" t="s">
        <v>126</v>
      </c>
      <c r="I26" s="283">
        <v>15</v>
      </c>
      <c r="J26" s="43">
        <v>2400</v>
      </c>
      <c r="K26" s="18">
        <f t="shared" si="1"/>
        <v>160</v>
      </c>
      <c r="L26" s="283">
        <v>15</v>
      </c>
      <c r="M26" s="19">
        <f t="shared" si="24"/>
        <v>2320.909090909091</v>
      </c>
      <c r="N26" s="18">
        <f t="shared" si="3"/>
        <v>154.72727272727272</v>
      </c>
      <c r="O26" s="20">
        <f t="shared" si="4"/>
        <v>0</v>
      </c>
      <c r="P26" s="21">
        <f t="shared" si="5"/>
        <v>-5.2727272727272805</v>
      </c>
      <c r="Q26" s="281">
        <f t="shared" si="6"/>
        <v>0.96704545454545454</v>
      </c>
      <c r="R26" s="573"/>
      <c r="S26" s="49">
        <v>0.3972222222222222</v>
      </c>
      <c r="T26" s="49">
        <v>0.42777777777777776</v>
      </c>
      <c r="U26" s="280">
        <f t="shared" si="26"/>
        <v>4.9999999999999822</v>
      </c>
      <c r="V26" s="284">
        <f t="shared" si="25"/>
        <v>44</v>
      </c>
      <c r="W26" s="25"/>
      <c r="X26" s="25"/>
      <c r="Y26" s="25"/>
      <c r="Z26" s="25"/>
      <c r="AA26" s="575"/>
      <c r="AB26" s="575"/>
      <c r="AC26" s="50"/>
      <c r="AD26" s="27"/>
      <c r="AE26" s="20">
        <f t="shared" si="8"/>
        <v>-79.090909090909008</v>
      </c>
      <c r="AF26" s="281">
        <f t="shared" si="9"/>
        <v>0.96704545454545454</v>
      </c>
      <c r="AG26" s="573"/>
    </row>
    <row r="27" spans="1:33" ht="15.75" customHeight="1">
      <c r="A27" s="595" t="s">
        <v>1615</v>
      </c>
      <c r="B27" s="39" t="s">
        <v>94</v>
      </c>
      <c r="C27" s="594" t="s">
        <v>98</v>
      </c>
      <c r="D27" s="594"/>
      <c r="E27" s="39">
        <v>25.99</v>
      </c>
      <c r="F27" s="285">
        <v>3573</v>
      </c>
      <c r="G27" s="280">
        <f t="shared" si="23"/>
        <v>92862.26999999999</v>
      </c>
      <c r="H27" s="48" t="s">
        <v>126</v>
      </c>
      <c r="I27" s="283">
        <v>14</v>
      </c>
      <c r="J27" s="43">
        <v>2400</v>
      </c>
      <c r="K27" s="18">
        <f t="shared" si="1"/>
        <v>171.42857142857142</v>
      </c>
      <c r="L27" s="283">
        <v>14</v>
      </c>
      <c r="M27" s="19">
        <f t="shared" si="24"/>
        <v>2305.1612903225814</v>
      </c>
      <c r="N27" s="18">
        <f t="shared" si="3"/>
        <v>164.6543778801844</v>
      </c>
      <c r="O27" s="20">
        <f t="shared" si="4"/>
        <v>0</v>
      </c>
      <c r="P27" s="21">
        <f t="shared" si="5"/>
        <v>-6.7741935483870179</v>
      </c>
      <c r="Q27" s="281">
        <f t="shared" si="6"/>
        <v>0.96048387096774235</v>
      </c>
      <c r="R27" s="573"/>
      <c r="S27" s="49">
        <v>0.43124999999999997</v>
      </c>
      <c r="T27" s="49">
        <v>0.49583333333333329</v>
      </c>
      <c r="U27" s="280">
        <f t="shared" si="26"/>
        <v>4.9999999999999822</v>
      </c>
      <c r="V27" s="284">
        <f t="shared" si="25"/>
        <v>92.999999999999986</v>
      </c>
      <c r="W27" s="25">
        <f>T27</f>
        <v>0.49583333333333329</v>
      </c>
      <c r="X27" s="25">
        <f>S28</f>
        <v>0.53680555555555554</v>
      </c>
      <c r="Y27" s="25"/>
      <c r="Z27" s="25"/>
      <c r="AA27" s="575"/>
      <c r="AB27" s="575"/>
      <c r="AC27" s="50"/>
      <c r="AD27" s="27"/>
      <c r="AE27" s="20">
        <f t="shared" si="8"/>
        <v>-94.838709677418592</v>
      </c>
      <c r="AF27" s="281">
        <f t="shared" si="9"/>
        <v>0.96048387096774224</v>
      </c>
      <c r="AG27" s="573"/>
    </row>
    <row r="28" spans="1:33" ht="15.75" customHeight="1">
      <c r="A28" s="595" t="s">
        <v>1615</v>
      </c>
      <c r="B28" s="39" t="s">
        <v>94</v>
      </c>
      <c r="C28" s="594" t="s">
        <v>95</v>
      </c>
      <c r="D28" s="594"/>
      <c r="E28" s="39">
        <v>31.29</v>
      </c>
      <c r="F28" s="285">
        <v>3844</v>
      </c>
      <c r="G28" s="280">
        <f t="shared" si="23"/>
        <v>120278.76</v>
      </c>
      <c r="H28" s="48" t="s">
        <v>126</v>
      </c>
      <c r="I28" s="283">
        <v>18</v>
      </c>
      <c r="J28" s="43">
        <v>2400</v>
      </c>
      <c r="K28" s="18">
        <f t="shared" si="1"/>
        <v>133.33333333333334</v>
      </c>
      <c r="L28" s="283">
        <v>18</v>
      </c>
      <c r="M28" s="19">
        <f t="shared" si="24"/>
        <v>2283.5643564356446</v>
      </c>
      <c r="N28" s="18">
        <f t="shared" si="3"/>
        <v>126.86468646864692</v>
      </c>
      <c r="O28" s="20">
        <f t="shared" si="4"/>
        <v>0</v>
      </c>
      <c r="P28" s="21">
        <f t="shared" si="5"/>
        <v>-6.4686468646864199</v>
      </c>
      <c r="Q28" s="281">
        <f t="shared" si="6"/>
        <v>0.95148514851485189</v>
      </c>
      <c r="R28" s="573"/>
      <c r="S28" s="49">
        <v>0.53680555555555554</v>
      </c>
      <c r="T28" s="49">
        <v>0.6069444444444444</v>
      </c>
      <c r="U28" s="280">
        <f t="shared" si="26"/>
        <v>59.000000000000028</v>
      </c>
      <c r="V28" s="284">
        <f t="shared" si="25"/>
        <v>100.99999999999996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-116.43564356435536</v>
      </c>
      <c r="AF28" s="281">
        <f t="shared" si="9"/>
        <v>0.95148514851485189</v>
      </c>
      <c r="AG28" s="573"/>
    </row>
    <row r="29" spans="1:33" ht="15.75" customHeight="1">
      <c r="A29" s="595" t="s">
        <v>1615</v>
      </c>
      <c r="B29" s="39" t="s">
        <v>1612</v>
      </c>
      <c r="C29" s="576"/>
      <c r="D29" s="576"/>
      <c r="E29" s="282"/>
      <c r="F29" s="285"/>
      <c r="G29" s="280"/>
      <c r="H29" s="285"/>
      <c r="I29" s="32">
        <v>17</v>
      </c>
      <c r="J29" s="43">
        <v>2400</v>
      </c>
      <c r="K29" s="18">
        <f t="shared" si="1"/>
        <v>141.1764705882353</v>
      </c>
      <c r="L29" s="32">
        <v>17</v>
      </c>
      <c r="M29" s="19">
        <f>AVERAGE(M23:M28)</f>
        <v>2296.5983414745751</v>
      </c>
      <c r="N29" s="18">
        <f t="shared" si="3"/>
        <v>135.0940200867397</v>
      </c>
      <c r="O29" s="20">
        <f t="shared" si="4"/>
        <v>0</v>
      </c>
      <c r="P29" s="21">
        <f t="shared" si="5"/>
        <v>-6.0824505014956003</v>
      </c>
      <c r="Q29" s="281">
        <f t="shared" si="6"/>
        <v>0.95691597561440622</v>
      </c>
      <c r="R29" s="573"/>
      <c r="S29" s="49"/>
      <c r="T29" s="49"/>
      <c r="U29" s="280"/>
      <c r="V29" s="284"/>
      <c r="W29" s="280"/>
      <c r="X29" s="280"/>
      <c r="Y29" s="33">
        <f>SUM(Y23:Y28)</f>
        <v>0</v>
      </c>
      <c r="Z29" s="33">
        <f>SUM(Z23:Z28)</f>
        <v>0</v>
      </c>
      <c r="AA29" s="572"/>
      <c r="AB29" s="572"/>
      <c r="AC29" s="33">
        <v>6</v>
      </c>
      <c r="AD29" s="33">
        <f>SUM(AD23:AD28)</f>
        <v>0</v>
      </c>
      <c r="AE29" s="20">
        <f t="shared" si="8"/>
        <v>-103.40165852542486</v>
      </c>
      <c r="AF29" s="281">
        <f t="shared" si="9"/>
        <v>0.95691597561440633</v>
      </c>
      <c r="AG29" s="573"/>
    </row>
    <row r="30" spans="1:33" ht="15.75" customHeight="1">
      <c r="A30" s="592" t="s">
        <v>1617</v>
      </c>
      <c r="B30" s="39" t="s">
        <v>94</v>
      </c>
      <c r="C30" s="574" t="s">
        <v>530</v>
      </c>
      <c r="D30" s="574"/>
      <c r="E30" s="39">
        <v>26.18</v>
      </c>
      <c r="F30" s="285">
        <v>5387</v>
      </c>
      <c r="G30" s="280">
        <f t="shared" ref="G30:G34" si="27">E30*F30</f>
        <v>141031.66</v>
      </c>
      <c r="H30" s="48" t="s">
        <v>126</v>
      </c>
      <c r="I30" s="283">
        <v>21</v>
      </c>
      <c r="J30" s="43">
        <v>2400</v>
      </c>
      <c r="K30" s="18">
        <f t="shared" si="1"/>
        <v>114.28571428571429</v>
      </c>
      <c r="L30" s="283">
        <v>21</v>
      </c>
      <c r="M30" s="19">
        <f t="shared" ref="M30:M34" si="28">F30/V30*60</f>
        <v>2292.3404255319147</v>
      </c>
      <c r="N30" s="18">
        <f t="shared" si="3"/>
        <v>109.15906788247213</v>
      </c>
      <c r="O30" s="20">
        <f t="shared" si="4"/>
        <v>0</v>
      </c>
      <c r="P30" s="21">
        <f t="shared" si="5"/>
        <v>-5.1266464032421624</v>
      </c>
      <c r="Q30" s="281">
        <f t="shared" si="6"/>
        <v>0.95514184397163104</v>
      </c>
      <c r="R30" s="573">
        <f>Q35</f>
        <v>0.95561634645223004</v>
      </c>
      <c r="S30" s="49">
        <v>8.3333333333333329E-2</v>
      </c>
      <c r="T30" s="49">
        <v>0.18124999999999999</v>
      </c>
      <c r="U30" s="280"/>
      <c r="V30" s="284">
        <f t="shared" ref="V30:V34" si="29">(T30-S30)*24*60</f>
        <v>141</v>
      </c>
      <c r="W30" s="30">
        <f>T30</f>
        <v>0.18124999999999999</v>
      </c>
      <c r="X30" s="30">
        <f>S31</f>
        <v>0.19930555555555554</v>
      </c>
      <c r="Y30" s="30"/>
      <c r="Z30" s="30"/>
      <c r="AA30" s="575"/>
      <c r="AB30" s="575"/>
      <c r="AC30" s="50">
        <v>5</v>
      </c>
      <c r="AD30" s="27"/>
      <c r="AE30" s="20">
        <f t="shared" si="8"/>
        <v>-107.65957446808534</v>
      </c>
      <c r="AF30" s="281">
        <f t="shared" si="9"/>
        <v>0.95514184397163115</v>
      </c>
      <c r="AG30" s="573">
        <f>AF35</f>
        <v>0.95561634645223004</v>
      </c>
    </row>
    <row r="31" spans="1:33" ht="15.75" customHeight="1">
      <c r="A31" s="592" t="s">
        <v>1618</v>
      </c>
      <c r="B31" s="39" t="s">
        <v>94</v>
      </c>
      <c r="C31" s="574" t="s">
        <v>100</v>
      </c>
      <c r="D31" s="574"/>
      <c r="E31" s="39">
        <v>24.43</v>
      </c>
      <c r="F31" s="285">
        <v>5507</v>
      </c>
      <c r="G31" s="280">
        <f t="shared" si="27"/>
        <v>134536.01</v>
      </c>
      <c r="H31" s="48" t="s">
        <v>126</v>
      </c>
      <c r="I31" s="283">
        <v>14</v>
      </c>
      <c r="J31" s="43">
        <v>2400</v>
      </c>
      <c r="K31" s="18">
        <f t="shared" si="1"/>
        <v>171.42857142857142</v>
      </c>
      <c r="L31" s="283">
        <v>14</v>
      </c>
      <c r="M31" s="19">
        <f t="shared" si="28"/>
        <v>2294.583333333333</v>
      </c>
      <c r="N31" s="18">
        <f t="shared" si="3"/>
        <v>163.89880952380949</v>
      </c>
      <c r="O31" s="20">
        <f t="shared" si="4"/>
        <v>0</v>
      </c>
      <c r="P31" s="21">
        <f t="shared" si="5"/>
        <v>-7.5297619047619264</v>
      </c>
      <c r="Q31" s="281">
        <f t="shared" si="6"/>
        <v>0.9560763888888888</v>
      </c>
      <c r="R31" s="573"/>
      <c r="S31" s="49">
        <v>0.19930555555555554</v>
      </c>
      <c r="T31" s="49">
        <v>0.29930555555555555</v>
      </c>
      <c r="U31" s="280">
        <f t="shared" ref="U31:U34" si="30">(S31-T30)*24*60</f>
        <v>25.999999999999986</v>
      </c>
      <c r="V31" s="284">
        <f t="shared" si="29"/>
        <v>144.00000000000003</v>
      </c>
      <c r="W31" s="280"/>
      <c r="X31" s="280"/>
      <c r="Y31" s="280"/>
      <c r="Z31" s="280"/>
      <c r="AA31" s="575"/>
      <c r="AB31" s="575"/>
      <c r="AC31" s="50"/>
      <c r="AD31" s="27"/>
      <c r="AE31" s="20">
        <f t="shared" si="8"/>
        <v>-105.41666666666697</v>
      </c>
      <c r="AF31" s="281">
        <f t="shared" si="9"/>
        <v>0.9560763888888888</v>
      </c>
      <c r="AG31" s="573"/>
    </row>
    <row r="32" spans="1:33">
      <c r="A32" s="593" t="s">
        <v>1619</v>
      </c>
      <c r="B32" s="39" t="s">
        <v>94</v>
      </c>
      <c r="C32" s="574" t="s">
        <v>102</v>
      </c>
      <c r="D32" s="574"/>
      <c r="E32" s="39">
        <v>34.1</v>
      </c>
      <c r="F32" s="285">
        <v>4400</v>
      </c>
      <c r="G32" s="280">
        <f t="shared" si="27"/>
        <v>150040</v>
      </c>
      <c r="H32" s="48">
        <v>2</v>
      </c>
      <c r="I32" s="283">
        <v>17</v>
      </c>
      <c r="J32" s="43">
        <v>1600</v>
      </c>
      <c r="K32" s="18">
        <f t="shared" si="1"/>
        <v>94.117647058823536</v>
      </c>
      <c r="L32" s="283">
        <v>17</v>
      </c>
      <c r="M32" s="19">
        <f t="shared" si="28"/>
        <v>1526.0115606936415</v>
      </c>
      <c r="N32" s="18">
        <f t="shared" si="3"/>
        <v>89.765385923155378</v>
      </c>
      <c r="O32" s="20">
        <f t="shared" si="4"/>
        <v>0</v>
      </c>
      <c r="P32" s="21">
        <f t="shared" si="5"/>
        <v>-4.352261135668158</v>
      </c>
      <c r="Q32" s="281">
        <f t="shared" si="6"/>
        <v>0.95375722543352581</v>
      </c>
      <c r="R32" s="573"/>
      <c r="S32" s="49">
        <v>0.30277777777777776</v>
      </c>
      <c r="T32" s="49">
        <v>0.42291666666666666</v>
      </c>
      <c r="U32" s="280">
        <f t="shared" si="30"/>
        <v>4.9999999999999822</v>
      </c>
      <c r="V32" s="284">
        <f t="shared" si="29"/>
        <v>173.00000000000003</v>
      </c>
      <c r="W32" s="280"/>
      <c r="X32" s="280"/>
      <c r="Y32" s="280"/>
      <c r="Z32" s="280"/>
      <c r="AA32" s="575"/>
      <c r="AB32" s="575"/>
      <c r="AC32" s="50"/>
      <c r="AD32" s="27"/>
      <c r="AE32" s="20">
        <f t="shared" si="8"/>
        <v>-73.988439306358487</v>
      </c>
      <c r="AF32" s="281">
        <f t="shared" si="9"/>
        <v>0.95375722543352592</v>
      </c>
      <c r="AG32" s="573"/>
    </row>
    <row r="33" spans="1:33">
      <c r="A33" s="593" t="s">
        <v>1620</v>
      </c>
      <c r="B33" s="39" t="s">
        <v>94</v>
      </c>
      <c r="C33" s="574" t="s">
        <v>101</v>
      </c>
      <c r="D33" s="574"/>
      <c r="E33" s="39">
        <v>25.98</v>
      </c>
      <c r="F33" s="285">
        <v>2440</v>
      </c>
      <c r="G33" s="280">
        <f t="shared" si="27"/>
        <v>63391.200000000004</v>
      </c>
      <c r="H33" s="48" t="s">
        <v>126</v>
      </c>
      <c r="I33" s="283">
        <v>19</v>
      </c>
      <c r="J33" s="43">
        <v>2400</v>
      </c>
      <c r="K33" s="18">
        <f t="shared" si="1"/>
        <v>126.31578947368421</v>
      </c>
      <c r="L33" s="283">
        <v>19</v>
      </c>
      <c r="M33" s="19">
        <f t="shared" si="28"/>
        <v>2287.4999999999995</v>
      </c>
      <c r="N33" s="18">
        <f t="shared" si="3"/>
        <v>120.39473684210525</v>
      </c>
      <c r="O33" s="20">
        <f t="shared" si="4"/>
        <v>0</v>
      </c>
      <c r="P33" s="21">
        <f t="shared" si="5"/>
        <v>-5.9210526315789593</v>
      </c>
      <c r="Q33" s="281">
        <f t="shared" si="6"/>
        <v>0.95312499999999989</v>
      </c>
      <c r="R33" s="573"/>
      <c r="S33" s="49">
        <v>0.42708333333333331</v>
      </c>
      <c r="T33" s="49">
        <v>0.47152777777777777</v>
      </c>
      <c r="U33" s="280">
        <f t="shared" si="30"/>
        <v>5.9999999999999787</v>
      </c>
      <c r="V33" s="284">
        <f t="shared" si="29"/>
        <v>64.000000000000014</v>
      </c>
      <c r="W33" s="25">
        <f>T33</f>
        <v>0.47152777777777777</v>
      </c>
      <c r="X33" s="25">
        <f>S34</f>
        <v>0.51180555555555551</v>
      </c>
      <c r="Y33" s="25"/>
      <c r="Z33" s="25"/>
      <c r="AA33" s="575"/>
      <c r="AB33" s="575"/>
      <c r="AC33" s="50"/>
      <c r="AD33" s="27"/>
      <c r="AE33" s="20">
        <f t="shared" si="8"/>
        <v>-112.50000000000045</v>
      </c>
      <c r="AF33" s="281">
        <f t="shared" si="9"/>
        <v>0.95312499999999978</v>
      </c>
      <c r="AG33" s="573"/>
    </row>
    <row r="34" spans="1:33">
      <c r="A34" s="593" t="s">
        <v>1618</v>
      </c>
      <c r="B34" s="39" t="s">
        <v>94</v>
      </c>
      <c r="C34" s="574" t="s">
        <v>102</v>
      </c>
      <c r="D34" s="574"/>
      <c r="E34" s="39">
        <v>34.1</v>
      </c>
      <c r="F34" s="285">
        <v>2025</v>
      </c>
      <c r="G34" s="280">
        <f t="shared" si="27"/>
        <v>69052.5</v>
      </c>
      <c r="H34" s="48" t="s">
        <v>126</v>
      </c>
      <c r="I34" s="283">
        <v>17</v>
      </c>
      <c r="J34" s="43">
        <v>1600</v>
      </c>
      <c r="K34" s="18">
        <f t="shared" si="1"/>
        <v>94.117647058823536</v>
      </c>
      <c r="L34" s="283">
        <v>17</v>
      </c>
      <c r="M34" s="19">
        <f t="shared" si="28"/>
        <v>1537.9746835443029</v>
      </c>
      <c r="N34" s="18">
        <f t="shared" si="3"/>
        <v>90.469099032017823</v>
      </c>
      <c r="O34" s="20">
        <f t="shared" si="4"/>
        <v>0</v>
      </c>
      <c r="P34" s="21">
        <f t="shared" si="5"/>
        <v>-3.6485480268057131</v>
      </c>
      <c r="Q34" s="281">
        <f t="shared" si="6"/>
        <v>0.96123417721518933</v>
      </c>
      <c r="R34" s="573"/>
      <c r="S34" s="49">
        <v>0.51180555555555551</v>
      </c>
      <c r="T34" s="49">
        <v>0.56666666666666665</v>
      </c>
      <c r="U34" s="280">
        <f t="shared" si="30"/>
        <v>57.999999999999957</v>
      </c>
      <c r="V34" s="284">
        <f t="shared" si="29"/>
        <v>79.000000000000043</v>
      </c>
      <c r="W34" s="25"/>
      <c r="X34" s="25"/>
      <c r="Y34" s="25"/>
      <c r="Z34" s="25"/>
      <c r="AA34" s="575"/>
      <c r="AB34" s="575"/>
      <c r="AC34" s="50"/>
      <c r="AD34" s="27"/>
      <c r="AE34" s="20">
        <f t="shared" si="8"/>
        <v>-62.025316455697066</v>
      </c>
      <c r="AF34" s="281">
        <f t="shared" si="9"/>
        <v>0.96123417721518933</v>
      </c>
      <c r="AG34" s="573"/>
    </row>
    <row r="35" spans="1:33">
      <c r="A35" s="593" t="s">
        <v>1619</v>
      </c>
      <c r="B35" s="42" t="s">
        <v>1601</v>
      </c>
      <c r="C35" s="576"/>
      <c r="D35" s="576"/>
      <c r="E35" s="282"/>
      <c r="F35" s="42"/>
      <c r="G35" s="18"/>
      <c r="H35" s="285"/>
      <c r="I35" s="32">
        <v>17.600000000000001</v>
      </c>
      <c r="J35" s="43">
        <v>2080</v>
      </c>
      <c r="K35" s="18">
        <f t="shared" si="1"/>
        <v>118.18181818181817</v>
      </c>
      <c r="L35" s="32">
        <v>17.600000000000001</v>
      </c>
      <c r="M35" s="19">
        <f>AVERAGE(M30:M34)</f>
        <v>1987.6820006206385</v>
      </c>
      <c r="N35" s="18">
        <f t="shared" si="3"/>
        <v>112.93647730799081</v>
      </c>
      <c r="O35" s="20">
        <f t="shared" si="4"/>
        <v>0</v>
      </c>
      <c r="P35" s="21">
        <f t="shared" si="5"/>
        <v>-5.2453408738273595</v>
      </c>
      <c r="Q35" s="281">
        <f t="shared" si="6"/>
        <v>0.95561634645223004</v>
      </c>
      <c r="R35" s="573"/>
      <c r="S35" s="49"/>
      <c r="T35" s="49"/>
      <c r="U35" s="18"/>
      <c r="V35" s="284"/>
      <c r="W35" s="18"/>
      <c r="X35" s="18"/>
      <c r="Y35" s="33">
        <f>SUM(Y30:Y34)</f>
        <v>0</v>
      </c>
      <c r="Z35" s="33">
        <f>SUM(Z30:Z34)</f>
        <v>0</v>
      </c>
      <c r="AA35" s="572"/>
      <c r="AB35" s="572"/>
      <c r="AC35" s="33">
        <v>5</v>
      </c>
      <c r="AD35" s="33">
        <f>SUM(AD30:AD34)</f>
        <v>0</v>
      </c>
      <c r="AE35" s="20">
        <f t="shared" si="8"/>
        <v>-92.317999379361481</v>
      </c>
      <c r="AF35" s="281">
        <f t="shared" si="9"/>
        <v>0.95561634645223004</v>
      </c>
      <c r="AG35" s="573"/>
    </row>
    <row r="36" spans="1:33" ht="15.75" customHeight="1">
      <c r="A36" s="589" t="s">
        <v>1621</v>
      </c>
      <c r="B36" s="39" t="s">
        <v>104</v>
      </c>
      <c r="C36" s="566" t="s">
        <v>105</v>
      </c>
      <c r="D36" s="567"/>
      <c r="E36" s="39">
        <v>37.880000000000003</v>
      </c>
      <c r="F36" s="285">
        <v>2377</v>
      </c>
      <c r="G36" s="280">
        <f t="shared" ref="G36:G39" si="31">E36*F36</f>
        <v>90040.760000000009</v>
      </c>
      <c r="H36" s="48" t="s">
        <v>126</v>
      </c>
      <c r="I36" s="283">
        <v>13</v>
      </c>
      <c r="J36" s="43">
        <v>2000</v>
      </c>
      <c r="K36" s="18">
        <f t="shared" si="1"/>
        <v>153.84615384615384</v>
      </c>
      <c r="L36" s="283">
        <v>13</v>
      </c>
      <c r="M36" s="19">
        <f t="shared" ref="M36:M39" si="32">F36/V36*60</f>
        <v>1927.2972972972973</v>
      </c>
      <c r="N36" s="19">
        <f t="shared" si="3"/>
        <v>148.25363825363826</v>
      </c>
      <c r="O36" s="20">
        <f t="shared" si="4"/>
        <v>0</v>
      </c>
      <c r="P36" s="21">
        <f t="shared" si="5"/>
        <v>-5.5925155925155821</v>
      </c>
      <c r="Q36" s="281">
        <f t="shared" si="6"/>
        <v>0.96364864864864874</v>
      </c>
      <c r="R36" s="584">
        <f>Q40</f>
        <v>0.95907261597385773</v>
      </c>
      <c r="S36" s="49">
        <v>8.3333333333333329E-2</v>
      </c>
      <c r="T36" s="49">
        <v>0.13472222222222222</v>
      </c>
      <c r="U36" s="30"/>
      <c r="V36" s="284">
        <f t="shared" ref="V36:V39" si="33">(T36-S36)*24*60</f>
        <v>74</v>
      </c>
      <c r="W36" s="25">
        <f>T36</f>
        <v>0.13472222222222222</v>
      </c>
      <c r="X36" s="25">
        <f>S37</f>
        <v>0.15347222222222223</v>
      </c>
      <c r="Y36" s="28"/>
      <c r="Z36" s="28"/>
      <c r="AA36" s="568"/>
      <c r="AB36" s="569"/>
      <c r="AC36" s="50">
        <v>4</v>
      </c>
      <c r="AD36" s="27"/>
      <c r="AE36" s="20">
        <f t="shared" si="8"/>
        <v>-72.702702702702709</v>
      </c>
      <c r="AF36" s="281">
        <f t="shared" si="9"/>
        <v>0.96364864864864863</v>
      </c>
      <c r="AG36" s="584">
        <f>AF40</f>
        <v>0.95907261597385773</v>
      </c>
    </row>
    <row r="37" spans="1:33" ht="15.75" customHeight="1">
      <c r="A37" s="590" t="s">
        <v>1622</v>
      </c>
      <c r="B37" s="39" t="s">
        <v>104</v>
      </c>
      <c r="C37" s="566" t="s">
        <v>106</v>
      </c>
      <c r="D37" s="567"/>
      <c r="E37" s="39">
        <v>35.119999999999997</v>
      </c>
      <c r="F37" s="285">
        <v>4555</v>
      </c>
      <c r="G37" s="280">
        <f t="shared" si="31"/>
        <v>159971.59999999998</v>
      </c>
      <c r="H37" s="48" t="s">
        <v>126</v>
      </c>
      <c r="I37" s="283">
        <v>10</v>
      </c>
      <c r="J37" s="43">
        <v>3000</v>
      </c>
      <c r="K37" s="18">
        <f t="shared" si="1"/>
        <v>300</v>
      </c>
      <c r="L37" s="283">
        <v>10</v>
      </c>
      <c r="M37" s="19">
        <f t="shared" si="32"/>
        <v>2876.8421052631584</v>
      </c>
      <c r="N37" s="19">
        <f t="shared" si="3"/>
        <v>287.68421052631584</v>
      </c>
      <c r="O37" s="20">
        <f t="shared" si="4"/>
        <v>0</v>
      </c>
      <c r="P37" s="21">
        <f t="shared" si="5"/>
        <v>-12.315789473684163</v>
      </c>
      <c r="Q37" s="281">
        <f t="shared" si="6"/>
        <v>0.95894736842105277</v>
      </c>
      <c r="R37" s="585"/>
      <c r="S37" s="49">
        <v>0.15347222222222223</v>
      </c>
      <c r="T37" s="49">
        <v>0.21944444444444444</v>
      </c>
      <c r="U37" s="280">
        <f t="shared" ref="U37:U39" si="34">(S37-T36)*24*60</f>
        <v>27.000000000000025</v>
      </c>
      <c r="V37" s="284">
        <f t="shared" si="33"/>
        <v>94.999999999999986</v>
      </c>
      <c r="W37" s="25"/>
      <c r="X37" s="25"/>
      <c r="Y37" s="28"/>
      <c r="Z37" s="28"/>
      <c r="AA37" s="568"/>
      <c r="AB37" s="569"/>
      <c r="AC37" s="50"/>
      <c r="AD37" s="27"/>
      <c r="AE37" s="20">
        <f t="shared" si="8"/>
        <v>-123.15789473684163</v>
      </c>
      <c r="AF37" s="281">
        <f t="shared" si="9"/>
        <v>0.95894736842105277</v>
      </c>
      <c r="AG37" s="585"/>
    </row>
    <row r="38" spans="1:33" ht="15.75" customHeight="1">
      <c r="A38" s="590" t="s">
        <v>1621</v>
      </c>
      <c r="B38" s="39" t="s">
        <v>104</v>
      </c>
      <c r="C38" s="566" t="s">
        <v>107</v>
      </c>
      <c r="D38" s="567"/>
      <c r="E38" s="39">
        <v>21.13</v>
      </c>
      <c r="F38" s="285">
        <v>4264</v>
      </c>
      <c r="G38" s="280">
        <f t="shared" si="31"/>
        <v>90098.319999999992</v>
      </c>
      <c r="H38" s="48" t="s">
        <v>126</v>
      </c>
      <c r="I38" s="283">
        <v>10</v>
      </c>
      <c r="J38" s="43">
        <v>3000</v>
      </c>
      <c r="K38" s="18">
        <f t="shared" si="1"/>
        <v>300</v>
      </c>
      <c r="L38" s="283">
        <v>10</v>
      </c>
      <c r="M38" s="19">
        <f t="shared" si="32"/>
        <v>2874.6067415730336</v>
      </c>
      <c r="N38" s="19">
        <f t="shared" si="3"/>
        <v>287.46067415730334</v>
      </c>
      <c r="O38" s="20">
        <f t="shared" si="4"/>
        <v>0</v>
      </c>
      <c r="P38" s="21">
        <f t="shared" si="5"/>
        <v>-12.539325842696655</v>
      </c>
      <c r="Q38" s="281">
        <f t="shared" si="6"/>
        <v>0.9582022471910111</v>
      </c>
      <c r="R38" s="585"/>
      <c r="S38" s="49">
        <v>0.22291666666666665</v>
      </c>
      <c r="T38" s="49">
        <v>0.28472222222222221</v>
      </c>
      <c r="U38" s="280">
        <f t="shared" si="34"/>
        <v>4.9999999999999822</v>
      </c>
      <c r="V38" s="284">
        <f t="shared" si="33"/>
        <v>89</v>
      </c>
      <c r="W38" s="25"/>
      <c r="X38" s="25"/>
      <c r="Y38" s="28"/>
      <c r="Z38" s="28"/>
      <c r="AA38" s="568"/>
      <c r="AB38" s="569"/>
      <c r="AC38" s="50"/>
      <c r="AD38" s="27"/>
      <c r="AE38" s="20">
        <f t="shared" si="8"/>
        <v>-125.39325842696644</v>
      </c>
      <c r="AF38" s="281">
        <f t="shared" si="9"/>
        <v>0.95820224719101121</v>
      </c>
      <c r="AG38" s="585"/>
    </row>
    <row r="39" spans="1:33" ht="15.75" customHeight="1">
      <c r="A39" s="590" t="s">
        <v>1621</v>
      </c>
      <c r="B39" s="39" t="s">
        <v>104</v>
      </c>
      <c r="C39" s="566" t="s">
        <v>108</v>
      </c>
      <c r="D39" s="567"/>
      <c r="E39" s="39">
        <v>27.17</v>
      </c>
      <c r="F39" s="285">
        <v>5455</v>
      </c>
      <c r="G39" s="280">
        <f t="shared" si="31"/>
        <v>148212.35</v>
      </c>
      <c r="H39" s="48" t="s">
        <v>126</v>
      </c>
      <c r="I39" s="283">
        <v>10</v>
      </c>
      <c r="J39" s="43">
        <v>3000</v>
      </c>
      <c r="K39" s="18">
        <f t="shared" si="1"/>
        <v>300</v>
      </c>
      <c r="L39" s="283">
        <v>10</v>
      </c>
      <c r="M39" s="19">
        <f t="shared" si="32"/>
        <v>2871.0526315789475</v>
      </c>
      <c r="N39" s="19">
        <f t="shared" si="3"/>
        <v>287.10526315789474</v>
      </c>
      <c r="O39" s="20">
        <f t="shared" si="4"/>
        <v>0</v>
      </c>
      <c r="P39" s="21">
        <f t="shared" si="5"/>
        <v>-12.89473684210526</v>
      </c>
      <c r="Q39" s="281">
        <f t="shared" si="6"/>
        <v>0.9570175438596491</v>
      </c>
      <c r="R39" s="585"/>
      <c r="S39" s="49">
        <v>0.28819444444444442</v>
      </c>
      <c r="T39" s="49">
        <v>0.36736111111111108</v>
      </c>
      <c r="U39" s="280">
        <f t="shared" si="34"/>
        <v>4.9999999999999822</v>
      </c>
      <c r="V39" s="284">
        <f t="shared" si="33"/>
        <v>114</v>
      </c>
      <c r="W39" s="25"/>
      <c r="X39" s="25"/>
      <c r="Y39" s="28"/>
      <c r="Z39" s="28"/>
      <c r="AA39" s="568"/>
      <c r="AB39" s="569"/>
      <c r="AC39" s="50"/>
      <c r="AD39" s="27"/>
      <c r="AE39" s="20">
        <f t="shared" si="8"/>
        <v>-128.94736842105249</v>
      </c>
      <c r="AF39" s="281">
        <f t="shared" si="9"/>
        <v>0.95701754385964921</v>
      </c>
      <c r="AG39" s="585"/>
    </row>
    <row r="40" spans="1:33" ht="15.75" customHeight="1">
      <c r="A40" s="591" t="s">
        <v>1622</v>
      </c>
      <c r="B40" s="39" t="s">
        <v>1601</v>
      </c>
      <c r="C40" s="570"/>
      <c r="D40" s="571"/>
      <c r="E40" s="278"/>
      <c r="F40" s="285"/>
      <c r="G40" s="280"/>
      <c r="H40" s="285"/>
      <c r="I40" s="32">
        <v>10.75</v>
      </c>
      <c r="J40" s="43">
        <v>2750</v>
      </c>
      <c r="K40" s="18">
        <f t="shared" si="1"/>
        <v>255.81395348837211</v>
      </c>
      <c r="L40" s="32">
        <v>10.75</v>
      </c>
      <c r="M40" s="19">
        <f>AVERAGE(M36:M39)</f>
        <v>2637.4496939281089</v>
      </c>
      <c r="N40" s="18">
        <f t="shared" si="3"/>
        <v>245.34415757470779</v>
      </c>
      <c r="O40" s="20">
        <f t="shared" si="4"/>
        <v>0</v>
      </c>
      <c r="P40" s="21">
        <f t="shared" si="5"/>
        <v>-10.469795913664314</v>
      </c>
      <c r="Q40" s="281">
        <f t="shared" si="6"/>
        <v>0.95907261597385773</v>
      </c>
      <c r="R40" s="586"/>
      <c r="S40" s="49"/>
      <c r="T40" s="49"/>
      <c r="U40" s="280"/>
      <c r="V40" s="284"/>
      <c r="W40" s="25"/>
      <c r="X40" s="25"/>
      <c r="Y40" s="33">
        <f>SUM(Y36:Y39)</f>
        <v>0</v>
      </c>
      <c r="Z40" s="33">
        <f>SUM(Z36:Z39)</f>
        <v>0</v>
      </c>
      <c r="AA40" s="587"/>
      <c r="AB40" s="588"/>
      <c r="AC40" s="33">
        <v>4</v>
      </c>
      <c r="AD40" s="33">
        <f>SUM(AD36:AD39)</f>
        <v>0</v>
      </c>
      <c r="AE40" s="20">
        <f t="shared" si="8"/>
        <v>-112.5503060718911</v>
      </c>
      <c r="AF40" s="281">
        <f t="shared" si="9"/>
        <v>0.95907261597385773</v>
      </c>
      <c r="AG40" s="586"/>
    </row>
    <row r="41" spans="1:33" ht="15.75" customHeight="1">
      <c r="A41" s="582" t="s">
        <v>1623</v>
      </c>
      <c r="B41" s="39" t="s">
        <v>79</v>
      </c>
      <c r="C41" s="574" t="s">
        <v>109</v>
      </c>
      <c r="D41" s="574"/>
      <c r="E41" s="39">
        <v>46</v>
      </c>
      <c r="F41" s="45">
        <v>1916</v>
      </c>
      <c r="G41" s="280">
        <f t="shared" ref="G41:G47" si="35">E41*F41</f>
        <v>88136</v>
      </c>
      <c r="H41" s="48" t="s">
        <v>126</v>
      </c>
      <c r="I41" s="283">
        <v>16</v>
      </c>
      <c r="J41" s="43">
        <v>2000</v>
      </c>
      <c r="K41" s="18">
        <f t="shared" si="1"/>
        <v>125</v>
      </c>
      <c r="L41" s="283">
        <v>16</v>
      </c>
      <c r="M41" s="19">
        <f t="shared" ref="M41" si="36">F41/V41*60</f>
        <v>1916.0000000000005</v>
      </c>
      <c r="N41" s="19">
        <f t="shared" si="3"/>
        <v>119.75000000000003</v>
      </c>
      <c r="O41" s="20">
        <f t="shared" si="4"/>
        <v>0</v>
      </c>
      <c r="P41" s="21">
        <f t="shared" si="5"/>
        <v>-5.2499999999999716</v>
      </c>
      <c r="Q41" s="281">
        <f t="shared" si="6"/>
        <v>0.95800000000000018</v>
      </c>
      <c r="R41" s="573">
        <f>Q48</f>
        <v>0.95747945258943379</v>
      </c>
      <c r="S41" s="49">
        <v>0.20833333333333334</v>
      </c>
      <c r="T41" s="49">
        <v>0.25</v>
      </c>
      <c r="U41" s="30"/>
      <c r="V41" s="284">
        <f t="shared" ref="V41:V47" si="37">(T41-S41)*24*60</f>
        <v>59.999999999999986</v>
      </c>
      <c r="W41" s="30"/>
      <c r="X41" s="30"/>
      <c r="Y41" s="30"/>
      <c r="Z41" s="30"/>
      <c r="AA41" s="575"/>
      <c r="AB41" s="575"/>
      <c r="AC41" s="50">
        <v>7</v>
      </c>
      <c r="AD41" s="27"/>
      <c r="AE41" s="20">
        <f t="shared" si="8"/>
        <v>-83.999999999999545</v>
      </c>
      <c r="AF41" s="281">
        <f t="shared" si="9"/>
        <v>0.95800000000000018</v>
      </c>
      <c r="AG41" s="573">
        <f>AF48</f>
        <v>0.95747945258943379</v>
      </c>
    </row>
    <row r="42" spans="1:33" ht="15.75" customHeight="1">
      <c r="A42" s="582" t="s">
        <v>1624</v>
      </c>
      <c r="B42" s="39" t="s">
        <v>74</v>
      </c>
      <c r="C42" s="574" t="s">
        <v>110</v>
      </c>
      <c r="D42" s="574"/>
      <c r="E42" s="39">
        <v>56.43</v>
      </c>
      <c r="F42" s="45">
        <v>1211</v>
      </c>
      <c r="G42" s="280">
        <f t="shared" si="35"/>
        <v>68336.73</v>
      </c>
      <c r="H42" s="48" t="s">
        <v>126</v>
      </c>
      <c r="I42" s="283">
        <v>22</v>
      </c>
      <c r="J42" s="43">
        <v>2000</v>
      </c>
      <c r="K42" s="18">
        <f t="shared" si="1"/>
        <v>90.909090909090907</v>
      </c>
      <c r="L42" s="283">
        <v>22</v>
      </c>
      <c r="M42" s="19">
        <f>F42/V42*60</f>
        <v>1912.1052631578932</v>
      </c>
      <c r="N42" s="19">
        <f t="shared" si="3"/>
        <v>86.913875598086051</v>
      </c>
      <c r="O42" s="20">
        <f t="shared" si="4"/>
        <v>0</v>
      </c>
      <c r="P42" s="21">
        <f t="shared" si="5"/>
        <v>-3.9952153110048556</v>
      </c>
      <c r="Q42" s="281">
        <f t="shared" si="6"/>
        <v>0.9560526315789466</v>
      </c>
      <c r="R42" s="573"/>
      <c r="S42" s="49">
        <v>0.25347222222222221</v>
      </c>
      <c r="T42" s="49">
        <v>0.27986111111111112</v>
      </c>
      <c r="U42" s="280">
        <f t="shared" ref="U42:U47" si="38">IF(S42=TIME(17,0,0),"",(S42-T41)*24*60)</f>
        <v>4.9999999999999822</v>
      </c>
      <c r="V42" s="284">
        <f t="shared" si="37"/>
        <v>38.000000000000028</v>
      </c>
      <c r="W42" s="25"/>
      <c r="X42" s="25"/>
      <c r="Y42" s="25"/>
      <c r="Z42" s="25"/>
      <c r="AA42" s="575"/>
      <c r="AB42" s="575"/>
      <c r="AC42" s="50"/>
      <c r="AD42" s="27"/>
      <c r="AE42" s="20">
        <f t="shared" si="8"/>
        <v>-87.894736842106795</v>
      </c>
      <c r="AF42" s="281">
        <f t="shared" si="9"/>
        <v>0.9560526315789466</v>
      </c>
      <c r="AG42" s="573"/>
    </row>
    <row r="43" spans="1:33" ht="15.75" customHeight="1">
      <c r="A43" s="582" t="s">
        <v>1624</v>
      </c>
      <c r="B43" s="39" t="s">
        <v>74</v>
      </c>
      <c r="C43" s="566" t="s">
        <v>111</v>
      </c>
      <c r="D43" s="567"/>
      <c r="E43" s="39">
        <v>51.75</v>
      </c>
      <c r="F43" s="45">
        <v>699</v>
      </c>
      <c r="G43" s="280">
        <f t="shared" si="35"/>
        <v>36173.25</v>
      </c>
      <c r="H43" s="48" t="s">
        <v>126</v>
      </c>
      <c r="I43" s="283">
        <v>25</v>
      </c>
      <c r="J43" s="43">
        <v>2000</v>
      </c>
      <c r="K43" s="18">
        <f t="shared" si="1"/>
        <v>80</v>
      </c>
      <c r="L43" s="283">
        <v>25</v>
      </c>
      <c r="M43" s="19">
        <f t="shared" ref="M43:M47" si="39">F43/V43*60</f>
        <v>1906.3636363636365</v>
      </c>
      <c r="N43" s="19">
        <f t="shared" si="3"/>
        <v>76.254545454545465</v>
      </c>
      <c r="O43" s="20">
        <f t="shared" si="4"/>
        <v>0</v>
      </c>
      <c r="P43" s="21">
        <f t="shared" si="5"/>
        <v>-3.7454545454545354</v>
      </c>
      <c r="Q43" s="281">
        <f t="shared" si="6"/>
        <v>0.95318181818181835</v>
      </c>
      <c r="R43" s="573"/>
      <c r="S43" s="49">
        <v>0.28333333333333333</v>
      </c>
      <c r="T43" s="49">
        <v>0.2986111111111111</v>
      </c>
      <c r="U43" s="280">
        <f t="shared" si="38"/>
        <v>4.9999999999999822</v>
      </c>
      <c r="V43" s="284">
        <f t="shared" si="37"/>
        <v>22</v>
      </c>
      <c r="W43" s="25"/>
      <c r="X43" s="25"/>
      <c r="Y43" s="28"/>
      <c r="Z43" s="28"/>
      <c r="AA43" s="575"/>
      <c r="AB43" s="575"/>
      <c r="AC43" s="50"/>
      <c r="AD43" s="27"/>
      <c r="AE43" s="20">
        <f t="shared" si="8"/>
        <v>-93.636363636363512</v>
      </c>
      <c r="AF43" s="281">
        <f t="shared" si="9"/>
        <v>0.95318181818181824</v>
      </c>
      <c r="AG43" s="573"/>
    </row>
    <row r="44" spans="1:33" ht="15.75" customHeight="1">
      <c r="A44" s="582" t="s">
        <v>1624</v>
      </c>
      <c r="B44" s="39" t="s">
        <v>74</v>
      </c>
      <c r="C44" s="275" t="s">
        <v>88</v>
      </c>
      <c r="D44" s="276"/>
      <c r="E44" s="39">
        <v>59.04</v>
      </c>
      <c r="F44" s="45">
        <v>4262</v>
      </c>
      <c r="G44" s="280">
        <f t="shared" si="35"/>
        <v>251628.48</v>
      </c>
      <c r="H44" s="48" t="s">
        <v>126</v>
      </c>
      <c r="I44" s="283">
        <v>19</v>
      </c>
      <c r="J44" s="43">
        <v>2000</v>
      </c>
      <c r="K44" s="18">
        <f t="shared" si="1"/>
        <v>105.26315789473684</v>
      </c>
      <c r="L44" s="283">
        <v>19</v>
      </c>
      <c r="M44" s="19">
        <f t="shared" si="39"/>
        <v>1908.358208955224</v>
      </c>
      <c r="N44" s="19">
        <f t="shared" si="3"/>
        <v>100.43990573448548</v>
      </c>
      <c r="O44" s="20">
        <f t="shared" si="4"/>
        <v>0</v>
      </c>
      <c r="P44" s="21">
        <f t="shared" si="5"/>
        <v>-4.8232521602513572</v>
      </c>
      <c r="Q44" s="281">
        <f t="shared" si="6"/>
        <v>0.95417910447761212</v>
      </c>
      <c r="R44" s="573"/>
      <c r="S44" s="49">
        <v>0.3034722222222222</v>
      </c>
      <c r="T44" s="49">
        <v>0.39652777777777776</v>
      </c>
      <c r="U44" s="280">
        <f t="shared" si="38"/>
        <v>6.9999999999999751</v>
      </c>
      <c r="V44" s="284">
        <f t="shared" si="37"/>
        <v>134</v>
      </c>
      <c r="W44" s="25"/>
      <c r="X44" s="25"/>
      <c r="Y44" s="28"/>
      <c r="Z44" s="28"/>
      <c r="AA44" s="575"/>
      <c r="AB44" s="575"/>
      <c r="AC44" s="50"/>
      <c r="AD44" s="27"/>
      <c r="AE44" s="20">
        <f t="shared" si="8"/>
        <v>-91.641791044776028</v>
      </c>
      <c r="AF44" s="281">
        <f t="shared" si="9"/>
        <v>0.95417910447761201</v>
      </c>
      <c r="AG44" s="573"/>
    </row>
    <row r="45" spans="1:33" ht="15.75" customHeight="1">
      <c r="A45" s="582" t="s">
        <v>1625</v>
      </c>
      <c r="B45" s="39" t="s">
        <v>79</v>
      </c>
      <c r="C45" s="275" t="s">
        <v>1233</v>
      </c>
      <c r="D45" s="276"/>
      <c r="E45" s="39">
        <v>46</v>
      </c>
      <c r="F45" s="45">
        <v>4325</v>
      </c>
      <c r="G45" s="280">
        <f t="shared" si="35"/>
        <v>198950</v>
      </c>
      <c r="H45" s="48" t="s">
        <v>126</v>
      </c>
      <c r="I45" s="283">
        <v>16</v>
      </c>
      <c r="J45" s="43">
        <v>2000</v>
      </c>
      <c r="K45" s="18">
        <f t="shared" si="1"/>
        <v>125</v>
      </c>
      <c r="L45" s="283">
        <v>16</v>
      </c>
      <c r="M45" s="19">
        <f t="shared" si="39"/>
        <v>1908.0882352941176</v>
      </c>
      <c r="N45" s="19">
        <f t="shared" si="3"/>
        <v>119.25551470588235</v>
      </c>
      <c r="O45" s="20">
        <f t="shared" si="4"/>
        <v>0</v>
      </c>
      <c r="P45" s="21">
        <f t="shared" si="5"/>
        <v>-5.7444852941176521</v>
      </c>
      <c r="Q45" s="281">
        <f t="shared" si="6"/>
        <v>0.95404411764705876</v>
      </c>
      <c r="R45" s="573"/>
      <c r="S45" s="49">
        <v>0.40069444444444441</v>
      </c>
      <c r="T45" s="49">
        <v>0.49513888888888885</v>
      </c>
      <c r="U45" s="280">
        <f t="shared" si="38"/>
        <v>5.9999999999999787</v>
      </c>
      <c r="V45" s="284">
        <f t="shared" si="37"/>
        <v>136</v>
      </c>
      <c r="W45" s="25"/>
      <c r="X45" s="25"/>
      <c r="Y45" s="28"/>
      <c r="Z45" s="28"/>
      <c r="AA45" s="575"/>
      <c r="AB45" s="575"/>
      <c r="AC45" s="50"/>
      <c r="AD45" s="27"/>
      <c r="AE45" s="20">
        <f t="shared" si="8"/>
        <v>-91.911764705882433</v>
      </c>
      <c r="AF45" s="281">
        <f t="shared" si="9"/>
        <v>0.95404411764705876</v>
      </c>
      <c r="AG45" s="573"/>
    </row>
    <row r="46" spans="1:33" ht="15.75" customHeight="1">
      <c r="A46" s="582" t="s">
        <v>1625</v>
      </c>
      <c r="B46" s="39" t="s">
        <v>74</v>
      </c>
      <c r="C46" s="566" t="s">
        <v>113</v>
      </c>
      <c r="D46" s="567"/>
      <c r="E46" s="39">
        <v>55.56</v>
      </c>
      <c r="F46" s="45">
        <v>1831</v>
      </c>
      <c r="G46" s="280">
        <f t="shared" si="35"/>
        <v>101730.36</v>
      </c>
      <c r="H46" s="48" t="s">
        <v>126</v>
      </c>
      <c r="I46" s="283">
        <v>17</v>
      </c>
      <c r="J46" s="43">
        <v>2000</v>
      </c>
      <c r="K46" s="18">
        <f t="shared" si="1"/>
        <v>117.64705882352941</v>
      </c>
      <c r="L46" s="283">
        <v>17</v>
      </c>
      <c r="M46" s="19">
        <f t="shared" si="39"/>
        <v>1927.368421052633</v>
      </c>
      <c r="N46" s="19">
        <f t="shared" si="3"/>
        <v>113.37461300309606</v>
      </c>
      <c r="O46" s="20">
        <f t="shared" si="4"/>
        <v>0</v>
      </c>
      <c r="P46" s="21">
        <f t="shared" si="5"/>
        <v>-4.2724458204333473</v>
      </c>
      <c r="Q46" s="281">
        <f t="shared" si="6"/>
        <v>0.96368421052631659</v>
      </c>
      <c r="R46" s="573"/>
      <c r="S46" s="49">
        <v>0.70833333333333337</v>
      </c>
      <c r="T46" s="49">
        <v>0.74791666666666667</v>
      </c>
      <c r="U46" s="280" t="str">
        <f t="shared" si="38"/>
        <v/>
      </c>
      <c r="V46" s="284">
        <f t="shared" si="37"/>
        <v>56.999999999999957</v>
      </c>
      <c r="W46" s="25"/>
      <c r="X46" s="25"/>
      <c r="Y46" s="28"/>
      <c r="Z46" s="28"/>
      <c r="AA46" s="568"/>
      <c r="AB46" s="569"/>
      <c r="AC46" s="50"/>
      <c r="AD46" s="27"/>
      <c r="AE46" s="20">
        <f t="shared" si="8"/>
        <v>-72.631578947366961</v>
      </c>
      <c r="AF46" s="281">
        <f t="shared" si="9"/>
        <v>0.96368421052631648</v>
      </c>
      <c r="AG46" s="573"/>
    </row>
    <row r="47" spans="1:33" ht="15.75" customHeight="1">
      <c r="A47" s="582" t="s">
        <v>1624</v>
      </c>
      <c r="B47" s="39" t="s">
        <v>74</v>
      </c>
      <c r="C47" s="566" t="s">
        <v>114</v>
      </c>
      <c r="D47" s="567"/>
      <c r="E47" s="39">
        <v>54.29</v>
      </c>
      <c r="F47" s="45">
        <v>899</v>
      </c>
      <c r="G47" s="280">
        <f t="shared" si="35"/>
        <v>48806.71</v>
      </c>
      <c r="H47" s="48" t="s">
        <v>126</v>
      </c>
      <c r="I47" s="283">
        <v>20</v>
      </c>
      <c r="J47" s="43">
        <v>2000</v>
      </c>
      <c r="K47" s="18">
        <f t="shared" si="1"/>
        <v>100</v>
      </c>
      <c r="L47" s="283">
        <v>20</v>
      </c>
      <c r="M47" s="19">
        <f t="shared" si="39"/>
        <v>1926.4285714285675</v>
      </c>
      <c r="N47" s="19">
        <f t="shared" si="3"/>
        <v>96.32142857142837</v>
      </c>
      <c r="O47" s="20">
        <f t="shared" si="4"/>
        <v>0</v>
      </c>
      <c r="P47" s="21">
        <f t="shared" si="5"/>
        <v>-3.6785714285716296</v>
      </c>
      <c r="Q47" s="281">
        <f t="shared" si="6"/>
        <v>0.96321428571428369</v>
      </c>
      <c r="R47" s="573"/>
      <c r="S47" s="49">
        <v>0.75138888888888888</v>
      </c>
      <c r="T47" s="49">
        <v>0.77083333333333337</v>
      </c>
      <c r="U47" s="280">
        <f t="shared" si="38"/>
        <v>4.9999999999999822</v>
      </c>
      <c r="V47" s="284">
        <f t="shared" si="37"/>
        <v>28.00000000000006</v>
      </c>
      <c r="W47" s="25"/>
      <c r="X47" s="25"/>
      <c r="Y47" s="28"/>
      <c r="Z47" s="28"/>
      <c r="AA47" s="568"/>
      <c r="AB47" s="569"/>
      <c r="AC47" s="50"/>
      <c r="AD47" s="27"/>
      <c r="AE47" s="20">
        <f t="shared" si="8"/>
        <v>-73.571428571432534</v>
      </c>
      <c r="AF47" s="281">
        <f t="shared" si="9"/>
        <v>0.96321428571428369</v>
      </c>
      <c r="AG47" s="573"/>
    </row>
    <row r="48" spans="1:33">
      <c r="A48" s="583" t="s">
        <v>416</v>
      </c>
      <c r="B48" s="39" t="s">
        <v>1601</v>
      </c>
      <c r="C48" s="576"/>
      <c r="D48" s="576"/>
      <c r="E48" s="282"/>
      <c r="F48" s="42"/>
      <c r="G48" s="18"/>
      <c r="H48" s="285"/>
      <c r="I48" s="32">
        <v>19.285714285714285</v>
      </c>
      <c r="J48" s="43">
        <v>2000</v>
      </c>
      <c r="K48" s="18">
        <f t="shared" si="1"/>
        <v>103.70370370370371</v>
      </c>
      <c r="L48" s="32">
        <v>19.285714285714285</v>
      </c>
      <c r="M48" s="19">
        <f>AVERAGE(M41:M47)</f>
        <v>1914.9589051788676</v>
      </c>
      <c r="N48" s="18">
        <f t="shared" si="3"/>
        <v>99.29416545371906</v>
      </c>
      <c r="O48" s="20">
        <f t="shared" si="4"/>
        <v>0</v>
      </c>
      <c r="P48" s="21">
        <f t="shared" si="5"/>
        <v>-4.4095382499846494</v>
      </c>
      <c r="Q48" s="281">
        <f t="shared" si="6"/>
        <v>0.95747945258943379</v>
      </c>
      <c r="R48" s="573"/>
      <c r="S48" s="49"/>
      <c r="T48" s="49"/>
      <c r="U48" s="280"/>
      <c r="V48" s="284"/>
      <c r="W48" s="18"/>
      <c r="X48" s="18"/>
      <c r="Y48" s="33">
        <f>SUM(Y41:Y47)</f>
        <v>0</v>
      </c>
      <c r="Z48" s="33">
        <f>SUM(Z41:Z47)</f>
        <v>0</v>
      </c>
      <c r="AA48" s="572"/>
      <c r="AB48" s="572"/>
      <c r="AC48" s="33">
        <v>7</v>
      </c>
      <c r="AD48" s="33">
        <f>SUM(AD41:AD47)</f>
        <v>0</v>
      </c>
      <c r="AE48" s="20">
        <f>M48-J48</f>
        <v>-85.041094821132447</v>
      </c>
      <c r="AF48" s="281">
        <f t="shared" si="9"/>
        <v>0.95747945258943379</v>
      </c>
      <c r="AG48" s="573"/>
    </row>
    <row r="49" spans="1:33" ht="15.75" customHeight="1">
      <c r="A49" s="580" t="s">
        <v>1626</v>
      </c>
      <c r="B49" s="285" t="s">
        <v>104</v>
      </c>
      <c r="C49" s="574" t="s">
        <v>115</v>
      </c>
      <c r="D49" s="574"/>
      <c r="E49" s="39">
        <v>34.36</v>
      </c>
      <c r="F49" s="45">
        <v>1627</v>
      </c>
      <c r="G49" s="280">
        <f t="shared" ref="G49:G54" si="40">E49*F49</f>
        <v>55903.72</v>
      </c>
      <c r="H49" s="48" t="s">
        <v>126</v>
      </c>
      <c r="I49" s="283">
        <v>10</v>
      </c>
      <c r="J49" s="43">
        <v>3000</v>
      </c>
      <c r="K49" s="18">
        <f t="shared" si="1"/>
        <v>300</v>
      </c>
      <c r="L49" s="283">
        <v>10</v>
      </c>
      <c r="M49" s="19">
        <f t="shared" ref="M49:M54" si="41">F49/V49*60</f>
        <v>2871.1764705882351</v>
      </c>
      <c r="N49" s="18">
        <f t="shared" si="3"/>
        <v>287.11764705882354</v>
      </c>
      <c r="O49" s="20">
        <f t="shared" si="4"/>
        <v>0</v>
      </c>
      <c r="P49" s="21">
        <f t="shared" si="5"/>
        <v>-12.882352941176464</v>
      </c>
      <c r="Q49" s="281">
        <f t="shared" si="6"/>
        <v>0.95705882352941174</v>
      </c>
      <c r="R49" s="573">
        <f>Q55</f>
        <v>0.96861540209170838</v>
      </c>
      <c r="S49" s="49">
        <v>0.20833333333333334</v>
      </c>
      <c r="T49" s="49">
        <v>0.23194444444444445</v>
      </c>
      <c r="U49" s="280"/>
      <c r="V49" s="284">
        <f t="shared" ref="V49:V54" si="42">(T49-S49)*24*60</f>
        <v>34</v>
      </c>
      <c r="W49" s="30"/>
      <c r="X49" s="30"/>
      <c r="Y49" s="30"/>
      <c r="Z49" s="30"/>
      <c r="AA49" s="575"/>
      <c r="AB49" s="575"/>
      <c r="AC49" s="50">
        <v>6</v>
      </c>
      <c r="AD49" s="27"/>
      <c r="AE49" s="20">
        <f t="shared" ref="AE49:AE63" si="43">M49-J49</f>
        <v>-128.82352941176487</v>
      </c>
      <c r="AF49" s="281">
        <f t="shared" si="9"/>
        <v>0.95705882352941174</v>
      </c>
      <c r="AG49" s="573">
        <f>AF55</f>
        <v>0.96861540209170849</v>
      </c>
    </row>
    <row r="50" spans="1:33" ht="15.75" customHeight="1">
      <c r="A50" s="580" t="s">
        <v>1626</v>
      </c>
      <c r="B50" s="285" t="s">
        <v>104</v>
      </c>
      <c r="C50" s="574" t="s">
        <v>116</v>
      </c>
      <c r="D50" s="574"/>
      <c r="E50" s="39">
        <v>34.36</v>
      </c>
      <c r="F50" s="45">
        <v>780</v>
      </c>
      <c r="G50" s="280">
        <f t="shared" si="40"/>
        <v>26800.799999999999</v>
      </c>
      <c r="H50" s="48" t="s">
        <v>126</v>
      </c>
      <c r="I50" s="283">
        <v>10</v>
      </c>
      <c r="J50" s="43">
        <v>3000</v>
      </c>
      <c r="K50" s="18">
        <f t="shared" si="1"/>
        <v>300</v>
      </c>
      <c r="L50" s="283">
        <v>10</v>
      </c>
      <c r="M50" s="19">
        <f t="shared" si="41"/>
        <v>2925.0000000000036</v>
      </c>
      <c r="N50" s="18">
        <f t="shared" si="3"/>
        <v>292.50000000000034</v>
      </c>
      <c r="O50" s="20">
        <f t="shared" si="4"/>
        <v>0</v>
      </c>
      <c r="P50" s="21">
        <f t="shared" si="5"/>
        <v>-7.4999999999996589</v>
      </c>
      <c r="Q50" s="281">
        <f t="shared" si="6"/>
        <v>0.97500000000000109</v>
      </c>
      <c r="R50" s="573"/>
      <c r="S50" s="49">
        <v>0.23680555555555557</v>
      </c>
      <c r="T50" s="49">
        <v>0.24791666666666667</v>
      </c>
      <c r="U50" s="280">
        <f t="shared" ref="U50:U54" si="44">(S50-T49)*24*60</f>
        <v>7.0000000000000151</v>
      </c>
      <c r="V50" s="284">
        <f t="shared" si="42"/>
        <v>15.999999999999982</v>
      </c>
      <c r="W50" s="280"/>
      <c r="X50" s="280"/>
      <c r="Y50" s="280"/>
      <c r="Z50" s="280"/>
      <c r="AA50" s="575"/>
      <c r="AB50" s="575"/>
      <c r="AC50" s="50"/>
      <c r="AD50" s="27"/>
      <c r="AE50" s="20">
        <f t="shared" si="43"/>
        <v>-74.999999999996362</v>
      </c>
      <c r="AF50" s="281">
        <f t="shared" si="9"/>
        <v>0.9750000000000012</v>
      </c>
      <c r="AG50" s="573"/>
    </row>
    <row r="51" spans="1:33" ht="15.75" customHeight="1">
      <c r="A51" s="580" t="s">
        <v>1626</v>
      </c>
      <c r="B51" s="285" t="s">
        <v>104</v>
      </c>
      <c r="C51" s="574" t="s">
        <v>117</v>
      </c>
      <c r="D51" s="574"/>
      <c r="E51" s="39">
        <v>26.78</v>
      </c>
      <c r="F51" s="45">
        <v>1901</v>
      </c>
      <c r="G51" s="280">
        <f t="shared" si="40"/>
        <v>50908.78</v>
      </c>
      <c r="H51" s="48" t="s">
        <v>126</v>
      </c>
      <c r="I51" s="283">
        <v>10</v>
      </c>
      <c r="J51" s="43">
        <v>3000</v>
      </c>
      <c r="K51" s="18">
        <f t="shared" si="1"/>
        <v>300</v>
      </c>
      <c r="L51" s="283">
        <v>10</v>
      </c>
      <c r="M51" s="19">
        <f t="shared" si="41"/>
        <v>2851.4999999999991</v>
      </c>
      <c r="N51" s="18">
        <f t="shared" si="3"/>
        <v>285.14999999999992</v>
      </c>
      <c r="O51" s="20">
        <f t="shared" si="4"/>
        <v>0</v>
      </c>
      <c r="P51" s="21">
        <f t="shared" si="5"/>
        <v>-14.85000000000008</v>
      </c>
      <c r="Q51" s="281">
        <f t="shared" si="6"/>
        <v>0.95049999999999979</v>
      </c>
      <c r="R51" s="573"/>
      <c r="S51" s="49">
        <v>0.25138888888888888</v>
      </c>
      <c r="T51" s="49">
        <v>0.27916666666666667</v>
      </c>
      <c r="U51" s="280">
        <f t="shared" si="44"/>
        <v>4.9999999999999822</v>
      </c>
      <c r="V51" s="284">
        <f t="shared" si="42"/>
        <v>40.000000000000014</v>
      </c>
      <c r="W51" s="280"/>
      <c r="X51" s="280"/>
      <c r="Y51" s="280"/>
      <c r="Z51" s="280"/>
      <c r="AA51" s="575"/>
      <c r="AB51" s="575"/>
      <c r="AC51" s="50"/>
      <c r="AD51" s="27"/>
      <c r="AE51" s="20">
        <f t="shared" si="43"/>
        <v>-148.50000000000091</v>
      </c>
      <c r="AF51" s="281">
        <f t="shared" si="9"/>
        <v>0.95049999999999968</v>
      </c>
      <c r="AG51" s="573"/>
    </row>
    <row r="52" spans="1:33" ht="15.75" customHeight="1">
      <c r="A52" s="580" t="s">
        <v>1627</v>
      </c>
      <c r="B52" s="285" t="s">
        <v>104</v>
      </c>
      <c r="C52" s="574" t="s">
        <v>118</v>
      </c>
      <c r="D52" s="574"/>
      <c r="E52" s="39">
        <v>37.880000000000003</v>
      </c>
      <c r="F52" s="45">
        <v>947</v>
      </c>
      <c r="G52" s="280">
        <f t="shared" si="40"/>
        <v>35872.36</v>
      </c>
      <c r="H52" s="48" t="s">
        <v>126</v>
      </c>
      <c r="I52" s="283">
        <v>10</v>
      </c>
      <c r="J52" s="43">
        <v>3000</v>
      </c>
      <c r="K52" s="18">
        <f t="shared" si="1"/>
        <v>300</v>
      </c>
      <c r="L52" s="283">
        <v>10</v>
      </c>
      <c r="M52" s="19">
        <f t="shared" si="41"/>
        <v>2990.5263157894715</v>
      </c>
      <c r="N52" s="18">
        <f t="shared" si="3"/>
        <v>299.05263157894717</v>
      </c>
      <c r="O52" s="20">
        <f t="shared" si="4"/>
        <v>0</v>
      </c>
      <c r="P52" s="21">
        <f t="shared" si="5"/>
        <v>-0.94736842105282904</v>
      </c>
      <c r="Q52" s="281">
        <f t="shared" si="6"/>
        <v>0.9968421052631572</v>
      </c>
      <c r="R52" s="573"/>
      <c r="S52" s="49">
        <v>0.28402777777777777</v>
      </c>
      <c r="T52" s="49">
        <v>0.29722222222222222</v>
      </c>
      <c r="U52" s="280">
        <f t="shared" si="44"/>
        <v>6.9999999999999751</v>
      </c>
      <c r="V52" s="284">
        <f t="shared" si="42"/>
        <v>19.000000000000014</v>
      </c>
      <c r="W52" s="280"/>
      <c r="X52" s="280"/>
      <c r="Y52" s="280"/>
      <c r="Z52" s="280"/>
      <c r="AA52" s="575"/>
      <c r="AB52" s="575"/>
      <c r="AC52" s="50"/>
      <c r="AD52" s="27"/>
      <c r="AE52" s="20">
        <f t="shared" si="43"/>
        <v>-9.4736842105285177</v>
      </c>
      <c r="AF52" s="281">
        <f t="shared" si="9"/>
        <v>0.9968421052631572</v>
      </c>
      <c r="AG52" s="573"/>
    </row>
    <row r="53" spans="1:33">
      <c r="A53" s="581" t="s">
        <v>292</v>
      </c>
      <c r="B53" s="285" t="s">
        <v>104</v>
      </c>
      <c r="C53" s="574" t="s">
        <v>119</v>
      </c>
      <c r="D53" s="574"/>
      <c r="E53" s="39">
        <v>35.869999999999997</v>
      </c>
      <c r="F53" s="45">
        <v>3202</v>
      </c>
      <c r="G53" s="280">
        <f t="shared" si="40"/>
        <v>114855.73999999999</v>
      </c>
      <c r="H53" s="48" t="s">
        <v>126</v>
      </c>
      <c r="I53" s="283">
        <v>9</v>
      </c>
      <c r="J53" s="43">
        <v>3000</v>
      </c>
      <c r="K53" s="18">
        <f t="shared" si="1"/>
        <v>333.33333333333331</v>
      </c>
      <c r="L53" s="283">
        <v>9</v>
      </c>
      <c r="M53" s="19">
        <f t="shared" si="41"/>
        <v>2867.4626865671644</v>
      </c>
      <c r="N53" s="18">
        <f t="shared" si="3"/>
        <v>318.60696517412936</v>
      </c>
      <c r="O53" s="20">
        <f t="shared" si="4"/>
        <v>0</v>
      </c>
      <c r="P53" s="21">
        <f t="shared" si="5"/>
        <v>-14.726368159203957</v>
      </c>
      <c r="Q53" s="281">
        <f t="shared" si="6"/>
        <v>0.95582089552238814</v>
      </c>
      <c r="R53" s="573"/>
      <c r="S53" s="49">
        <v>0.30069444444444443</v>
      </c>
      <c r="T53" s="49">
        <v>0.34722222222222221</v>
      </c>
      <c r="U53" s="280">
        <f t="shared" si="44"/>
        <v>4.9999999999999822</v>
      </c>
      <c r="V53" s="284">
        <f t="shared" si="42"/>
        <v>67</v>
      </c>
      <c r="W53" s="25"/>
      <c r="X53" s="25"/>
      <c r="Y53" s="25"/>
      <c r="Z53" s="25"/>
      <c r="AA53" s="575"/>
      <c r="AB53" s="575"/>
      <c r="AC53" s="50"/>
      <c r="AD53" s="27"/>
      <c r="AE53" s="20">
        <f t="shared" si="43"/>
        <v>-132.53731343283562</v>
      </c>
      <c r="AF53" s="281">
        <f t="shared" si="9"/>
        <v>0.95582089552238814</v>
      </c>
      <c r="AG53" s="573"/>
    </row>
    <row r="54" spans="1:33" ht="15" customHeight="1">
      <c r="A54" s="581" t="s">
        <v>1627</v>
      </c>
      <c r="B54" s="285" t="s">
        <v>104</v>
      </c>
      <c r="C54" s="566" t="s">
        <v>120</v>
      </c>
      <c r="D54" s="567"/>
      <c r="E54" s="39">
        <v>34.35</v>
      </c>
      <c r="F54" s="45">
        <v>1660</v>
      </c>
      <c r="G54" s="280">
        <f t="shared" si="40"/>
        <v>57021</v>
      </c>
      <c r="H54" s="48" t="s">
        <v>126</v>
      </c>
      <c r="I54" s="283">
        <v>8</v>
      </c>
      <c r="J54" s="43">
        <v>3000</v>
      </c>
      <c r="K54" s="18">
        <f t="shared" si="1"/>
        <v>375</v>
      </c>
      <c r="L54" s="283">
        <v>8</v>
      </c>
      <c r="M54" s="19">
        <f t="shared" si="41"/>
        <v>2929.4117647058788</v>
      </c>
      <c r="N54" s="18">
        <f t="shared" si="3"/>
        <v>366.17647058823485</v>
      </c>
      <c r="O54" s="20">
        <f t="shared" si="4"/>
        <v>0</v>
      </c>
      <c r="P54" s="21">
        <f t="shared" si="5"/>
        <v>-8.8235294117651506</v>
      </c>
      <c r="Q54" s="281">
        <f t="shared" si="6"/>
        <v>0.97647058823529298</v>
      </c>
      <c r="R54" s="573"/>
      <c r="S54" s="49">
        <v>0.35138888888888886</v>
      </c>
      <c r="T54" s="49">
        <v>0.375</v>
      </c>
      <c r="U54" s="280">
        <f t="shared" si="44"/>
        <v>5.9999999999999787</v>
      </c>
      <c r="V54" s="284">
        <f t="shared" si="42"/>
        <v>34.000000000000043</v>
      </c>
      <c r="W54" s="280"/>
      <c r="X54" s="280"/>
      <c r="Y54" s="277"/>
      <c r="Z54" s="277"/>
      <c r="AA54" s="568"/>
      <c r="AB54" s="569"/>
      <c r="AC54" s="50"/>
      <c r="AD54" s="27"/>
      <c r="AE54" s="20">
        <f t="shared" si="43"/>
        <v>-70.588235294121205</v>
      </c>
      <c r="AF54" s="281">
        <f t="shared" si="9"/>
        <v>0.97647058823529298</v>
      </c>
      <c r="AG54" s="573"/>
    </row>
    <row r="55" spans="1:33">
      <c r="A55" s="581" t="s">
        <v>1626</v>
      </c>
      <c r="B55" s="39" t="s">
        <v>1601</v>
      </c>
      <c r="C55" s="576"/>
      <c r="D55" s="576"/>
      <c r="E55" s="282"/>
      <c r="F55" s="42"/>
      <c r="G55" s="18"/>
      <c r="H55" s="285"/>
      <c r="I55" s="32">
        <v>9.5</v>
      </c>
      <c r="J55" s="43">
        <v>3000</v>
      </c>
      <c r="K55" s="18">
        <f t="shared" si="1"/>
        <v>315.78947368421052</v>
      </c>
      <c r="L55" s="32">
        <v>9.5</v>
      </c>
      <c r="M55" s="19">
        <f>AVERAGE(M49:M54)</f>
        <v>2905.8462062751255</v>
      </c>
      <c r="N55" s="18">
        <f t="shared" si="3"/>
        <v>305.87854802896055</v>
      </c>
      <c r="O55" s="20">
        <f t="shared" si="4"/>
        <v>0</v>
      </c>
      <c r="P55" s="21">
        <f t="shared" si="5"/>
        <v>-9.9109256552499687</v>
      </c>
      <c r="Q55" s="281">
        <f t="shared" si="6"/>
        <v>0.96861540209170838</v>
      </c>
      <c r="R55" s="573"/>
      <c r="S55" s="49"/>
      <c r="T55" s="49"/>
      <c r="U55" s="18"/>
      <c r="V55" s="284"/>
      <c r="W55" s="18"/>
      <c r="X55" s="18"/>
      <c r="Y55" s="33">
        <f>SUM(Y49:Y54)</f>
        <v>0</v>
      </c>
      <c r="Z55" s="33">
        <f>SUM(Z49:Z54)</f>
        <v>0</v>
      </c>
      <c r="AA55" s="572"/>
      <c r="AB55" s="572"/>
      <c r="AC55" s="33">
        <v>6</v>
      </c>
      <c r="AD55" s="33">
        <f>SUM(AD49:AD54)</f>
        <v>0</v>
      </c>
      <c r="AE55" s="20">
        <f t="shared" si="43"/>
        <v>-94.153793724874504</v>
      </c>
      <c r="AF55" s="281">
        <f t="shared" si="9"/>
        <v>0.96861540209170849</v>
      </c>
      <c r="AG55" s="573"/>
    </row>
    <row r="56" spans="1:33" ht="15.75" customHeight="1">
      <c r="A56" s="577" t="s">
        <v>1628</v>
      </c>
      <c r="B56" s="285" t="s">
        <v>94</v>
      </c>
      <c r="C56" s="574" t="s">
        <v>124</v>
      </c>
      <c r="D56" s="574"/>
      <c r="E56" s="39">
        <v>22.69</v>
      </c>
      <c r="F56" s="285">
        <v>3657</v>
      </c>
      <c r="G56" s="280">
        <f t="shared" ref="G56:G62" si="45">E56*F56</f>
        <v>82977.33</v>
      </c>
      <c r="H56" s="48" t="s">
        <v>126</v>
      </c>
      <c r="I56" s="283">
        <v>15</v>
      </c>
      <c r="J56" s="43">
        <v>2400</v>
      </c>
      <c r="K56" s="18">
        <f t="shared" si="1"/>
        <v>160</v>
      </c>
      <c r="L56" s="283">
        <v>15</v>
      </c>
      <c r="M56" s="19">
        <f t="shared" ref="M56:M62" si="46">F56/V56*60</f>
        <v>2285.625</v>
      </c>
      <c r="N56" s="18">
        <f t="shared" si="3"/>
        <v>152.375</v>
      </c>
      <c r="O56" s="20">
        <f t="shared" si="4"/>
        <v>0</v>
      </c>
      <c r="P56" s="21">
        <f t="shared" si="5"/>
        <v>-7.625</v>
      </c>
      <c r="Q56" s="281">
        <f t="shared" si="6"/>
        <v>0.95234375000000004</v>
      </c>
      <c r="R56" s="573">
        <f>Q63</f>
        <v>0.95839364840479324</v>
      </c>
      <c r="S56" s="49">
        <v>8.3333333333333329E-2</v>
      </c>
      <c r="T56" s="49">
        <v>0.15</v>
      </c>
      <c r="U56" s="30"/>
      <c r="V56" s="284">
        <f t="shared" ref="V56:V62" si="47">(T56-S56)*24*60</f>
        <v>96</v>
      </c>
      <c r="W56" s="25">
        <f>T56</f>
        <v>0.15</v>
      </c>
      <c r="X56" s="25">
        <f>S57</f>
        <v>0.16944444444444445</v>
      </c>
      <c r="Y56" s="25"/>
      <c r="Z56" s="25"/>
      <c r="AA56" s="575"/>
      <c r="AB56" s="575"/>
      <c r="AC56" s="50">
        <v>7</v>
      </c>
      <c r="AD56" s="27"/>
      <c r="AE56" s="20">
        <f t="shared" si="43"/>
        <v>-114.375</v>
      </c>
      <c r="AF56" s="281">
        <f t="shared" si="9"/>
        <v>0.95234375000000004</v>
      </c>
      <c r="AG56" s="573">
        <f>AF63</f>
        <v>0.95839364840479335</v>
      </c>
    </row>
    <row r="57" spans="1:33" ht="15.75" customHeight="1">
      <c r="A57" s="578" t="s">
        <v>1628</v>
      </c>
      <c r="B57" s="285" t="s">
        <v>94</v>
      </c>
      <c r="C57" s="574" t="s">
        <v>123</v>
      </c>
      <c r="D57" s="574"/>
      <c r="E57" s="39">
        <v>20.21</v>
      </c>
      <c r="F57" s="285">
        <v>2652</v>
      </c>
      <c r="G57" s="280">
        <f t="shared" si="45"/>
        <v>53596.920000000006</v>
      </c>
      <c r="H57" s="48" t="s">
        <v>126</v>
      </c>
      <c r="I57" s="283">
        <v>15</v>
      </c>
      <c r="J57" s="43">
        <v>2400</v>
      </c>
      <c r="K57" s="18">
        <f t="shared" si="1"/>
        <v>160</v>
      </c>
      <c r="L57" s="283">
        <v>15</v>
      </c>
      <c r="M57" s="19">
        <f t="shared" si="46"/>
        <v>2306.086956521739</v>
      </c>
      <c r="N57" s="18">
        <f t="shared" si="3"/>
        <v>153.7391304347826</v>
      </c>
      <c r="O57" s="20">
        <f t="shared" si="4"/>
        <v>0</v>
      </c>
      <c r="P57" s="21">
        <f t="shared" si="5"/>
        <v>-6.2608695652174049</v>
      </c>
      <c r="Q57" s="281">
        <f t="shared" si="6"/>
        <v>0.9608695652173912</v>
      </c>
      <c r="R57" s="573"/>
      <c r="S57" s="49">
        <v>0.16944444444444445</v>
      </c>
      <c r="T57" s="49">
        <v>0.21736111111111112</v>
      </c>
      <c r="U57" s="280">
        <f t="shared" ref="U57:U62" si="48">(S57-T56)*24*60</f>
        <v>28.000000000000021</v>
      </c>
      <c r="V57" s="284">
        <f t="shared" si="47"/>
        <v>69</v>
      </c>
      <c r="W57" s="25"/>
      <c r="X57" s="25"/>
      <c r="Y57" s="25"/>
      <c r="Z57" s="25"/>
      <c r="AA57" s="575"/>
      <c r="AB57" s="575"/>
      <c r="AC57" s="50"/>
      <c r="AD57" s="27"/>
      <c r="AE57" s="20">
        <f t="shared" si="43"/>
        <v>-93.913043478260988</v>
      </c>
      <c r="AF57" s="281">
        <f t="shared" si="9"/>
        <v>0.96086956521739131</v>
      </c>
      <c r="AG57" s="573"/>
    </row>
    <row r="58" spans="1:33" ht="15.75" customHeight="1">
      <c r="A58" s="578" t="s">
        <v>1629</v>
      </c>
      <c r="B58" s="285" t="s">
        <v>94</v>
      </c>
      <c r="C58" s="574" t="s">
        <v>125</v>
      </c>
      <c r="D58" s="574"/>
      <c r="E58" s="39">
        <v>19.02</v>
      </c>
      <c r="F58" s="285">
        <v>5300</v>
      </c>
      <c r="G58" s="280">
        <f t="shared" si="45"/>
        <v>100806</v>
      </c>
      <c r="H58" s="48">
        <v>2</v>
      </c>
      <c r="I58" s="283">
        <v>14</v>
      </c>
      <c r="J58" s="43">
        <v>2400</v>
      </c>
      <c r="K58" s="18">
        <f t="shared" si="1"/>
        <v>171.42857142857142</v>
      </c>
      <c r="L58" s="283">
        <v>14</v>
      </c>
      <c r="M58" s="19">
        <f t="shared" si="46"/>
        <v>2287.7697841726613</v>
      </c>
      <c r="N58" s="18">
        <f t="shared" si="3"/>
        <v>163.41212744090438</v>
      </c>
      <c r="O58" s="20">
        <f t="shared" si="4"/>
        <v>0</v>
      </c>
      <c r="P58" s="21">
        <f t="shared" si="5"/>
        <v>-8.0164439876670315</v>
      </c>
      <c r="Q58" s="281">
        <f t="shared" si="6"/>
        <v>0.95323741007194229</v>
      </c>
      <c r="R58" s="573"/>
      <c r="S58" s="49">
        <v>0.22291666666666668</v>
      </c>
      <c r="T58" s="49">
        <v>0.31944444444444448</v>
      </c>
      <c r="U58" s="280">
        <f t="shared" si="48"/>
        <v>8.0000000000000107</v>
      </c>
      <c r="V58" s="284">
        <f t="shared" si="47"/>
        <v>139.00000000000003</v>
      </c>
      <c r="W58" s="25"/>
      <c r="X58" s="25"/>
      <c r="Y58" s="25"/>
      <c r="Z58" s="25"/>
      <c r="AA58" s="575"/>
      <c r="AB58" s="575"/>
      <c r="AC58" s="50"/>
      <c r="AD58" s="27"/>
      <c r="AE58" s="20">
        <f t="shared" si="43"/>
        <v>-112.23021582733872</v>
      </c>
      <c r="AF58" s="281">
        <f t="shared" si="9"/>
        <v>0.95323741007194218</v>
      </c>
      <c r="AG58" s="573"/>
    </row>
    <row r="59" spans="1:33" ht="15.75" customHeight="1">
      <c r="A59" s="578" t="s">
        <v>1629</v>
      </c>
      <c r="B59" s="285" t="s">
        <v>94</v>
      </c>
      <c r="C59" s="574" t="s">
        <v>99</v>
      </c>
      <c r="D59" s="574"/>
      <c r="E59" s="39">
        <v>20.36</v>
      </c>
      <c r="F59" s="285">
        <v>2500</v>
      </c>
      <c r="G59" s="280">
        <f t="shared" si="45"/>
        <v>50900</v>
      </c>
      <c r="H59" s="48">
        <v>2</v>
      </c>
      <c r="I59" s="283">
        <v>17</v>
      </c>
      <c r="J59" s="43">
        <v>2400</v>
      </c>
      <c r="K59" s="18">
        <f t="shared" si="1"/>
        <v>141.1764705882353</v>
      </c>
      <c r="L59" s="283">
        <v>17</v>
      </c>
      <c r="M59" s="19">
        <f t="shared" si="46"/>
        <v>2307.6923076923072</v>
      </c>
      <c r="N59" s="18">
        <f t="shared" si="3"/>
        <v>135.7466063348416</v>
      </c>
      <c r="O59" s="20">
        <f t="shared" si="4"/>
        <v>0</v>
      </c>
      <c r="P59" s="21">
        <f t="shared" si="5"/>
        <v>-5.4298642533937027</v>
      </c>
      <c r="Q59" s="281">
        <f t="shared" si="6"/>
        <v>0.96153846153846123</v>
      </c>
      <c r="R59" s="573"/>
      <c r="S59" s="49">
        <v>0.32361111111111113</v>
      </c>
      <c r="T59" s="49">
        <v>0.36875000000000002</v>
      </c>
      <c r="U59" s="280">
        <f t="shared" si="48"/>
        <v>5.9999999999999787</v>
      </c>
      <c r="V59" s="284">
        <f t="shared" si="47"/>
        <v>65.000000000000014</v>
      </c>
      <c r="W59" s="25"/>
      <c r="X59" s="25"/>
      <c r="Y59" s="25"/>
      <c r="Z59" s="25"/>
      <c r="AA59" s="575"/>
      <c r="AB59" s="575"/>
      <c r="AC59" s="50"/>
      <c r="AD59" s="27"/>
      <c r="AE59" s="20">
        <f t="shared" si="43"/>
        <v>-92.307692307692832</v>
      </c>
      <c r="AF59" s="281">
        <f t="shared" si="9"/>
        <v>0.96153846153846134</v>
      </c>
      <c r="AG59" s="573"/>
    </row>
    <row r="60" spans="1:33" ht="15.75" customHeight="1">
      <c r="A60" s="578" t="s">
        <v>1630</v>
      </c>
      <c r="B60" s="285" t="s">
        <v>94</v>
      </c>
      <c r="C60" s="574" t="s">
        <v>1231</v>
      </c>
      <c r="D60" s="574"/>
      <c r="E60" s="39">
        <v>25.99</v>
      </c>
      <c r="F60" s="285">
        <v>5652</v>
      </c>
      <c r="G60" s="280">
        <f t="shared" si="45"/>
        <v>146895.47999999998</v>
      </c>
      <c r="H60" s="48" t="s">
        <v>126</v>
      </c>
      <c r="I60" s="283">
        <v>19</v>
      </c>
      <c r="J60" s="43">
        <v>2400</v>
      </c>
      <c r="K60" s="18">
        <f t="shared" si="1"/>
        <v>126.31578947368421</v>
      </c>
      <c r="L60" s="283">
        <v>19</v>
      </c>
      <c r="M60" s="19">
        <f t="shared" si="46"/>
        <v>2291.3513513513508</v>
      </c>
      <c r="N60" s="18">
        <f t="shared" si="3"/>
        <v>120.59743954480794</v>
      </c>
      <c r="O60" s="20">
        <f t="shared" si="4"/>
        <v>0</v>
      </c>
      <c r="P60" s="21">
        <f t="shared" si="5"/>
        <v>-5.7183499288762647</v>
      </c>
      <c r="Q60" s="281">
        <f t="shared" si="6"/>
        <v>0.95472972972972958</v>
      </c>
      <c r="R60" s="573"/>
      <c r="S60" s="49">
        <v>0.37291666666666667</v>
      </c>
      <c r="T60" s="49">
        <v>0.47569444444444448</v>
      </c>
      <c r="U60" s="280">
        <f t="shared" si="48"/>
        <v>5.9999999999999787</v>
      </c>
      <c r="V60" s="284">
        <f t="shared" si="47"/>
        <v>148.00000000000003</v>
      </c>
      <c r="W60" s="25">
        <f>T60</f>
        <v>0.47569444444444448</v>
      </c>
      <c r="X60" s="25">
        <f>S61</f>
        <v>0.51666666666666661</v>
      </c>
      <c r="Y60" s="25"/>
      <c r="Z60" s="25"/>
      <c r="AA60" s="575"/>
      <c r="AB60" s="575"/>
      <c r="AC60" s="50"/>
      <c r="AD60" s="27"/>
      <c r="AE60" s="20">
        <f t="shared" si="43"/>
        <v>-108.64864864864921</v>
      </c>
      <c r="AF60" s="281">
        <f t="shared" si="9"/>
        <v>0.95472972972972947</v>
      </c>
      <c r="AG60" s="573"/>
    </row>
    <row r="61" spans="1:33" ht="15.75" customHeight="1">
      <c r="A61" s="578" t="s">
        <v>1628</v>
      </c>
      <c r="B61" s="285" t="s">
        <v>94</v>
      </c>
      <c r="C61" s="574" t="s">
        <v>125</v>
      </c>
      <c r="D61" s="574"/>
      <c r="E61" s="39">
        <v>19.02</v>
      </c>
      <c r="F61" s="285">
        <v>2275</v>
      </c>
      <c r="G61" s="280">
        <f t="shared" si="45"/>
        <v>43270.5</v>
      </c>
      <c r="H61" s="48" t="s">
        <v>126</v>
      </c>
      <c r="I61" s="283">
        <v>14</v>
      </c>
      <c r="J61" s="43">
        <v>2400</v>
      </c>
      <c r="K61" s="18">
        <f t="shared" si="1"/>
        <v>171.42857142857142</v>
      </c>
      <c r="L61" s="283">
        <v>14</v>
      </c>
      <c r="M61" s="19">
        <f t="shared" si="46"/>
        <v>2313.5593220339006</v>
      </c>
      <c r="N61" s="18">
        <f t="shared" si="3"/>
        <v>165.25423728813576</v>
      </c>
      <c r="O61" s="20">
        <f t="shared" si="4"/>
        <v>0</v>
      </c>
      <c r="P61" s="21">
        <f t="shared" si="5"/>
        <v>-6.1743341404356613</v>
      </c>
      <c r="Q61" s="281">
        <f t="shared" si="6"/>
        <v>0.96398305084745861</v>
      </c>
      <c r="R61" s="573"/>
      <c r="S61" s="49">
        <v>0.51666666666666661</v>
      </c>
      <c r="T61" s="49">
        <v>0.5576388888888888</v>
      </c>
      <c r="U61" s="280">
        <f t="shared" si="48"/>
        <v>58.999999999999872</v>
      </c>
      <c r="V61" s="284">
        <f t="shared" si="47"/>
        <v>58.99999999999995</v>
      </c>
      <c r="W61" s="25"/>
      <c r="X61" s="25"/>
      <c r="Y61" s="25"/>
      <c r="Z61" s="25"/>
      <c r="AA61" s="575"/>
      <c r="AB61" s="575"/>
      <c r="AC61" s="50"/>
      <c r="AD61" s="27"/>
      <c r="AE61" s="20">
        <f t="shared" si="43"/>
        <v>-86.440677966099429</v>
      </c>
      <c r="AF61" s="281">
        <f t="shared" si="9"/>
        <v>0.96398305084745861</v>
      </c>
      <c r="AG61" s="573"/>
    </row>
    <row r="62" spans="1:33" ht="15.75" customHeight="1">
      <c r="A62" s="578" t="s">
        <v>1628</v>
      </c>
      <c r="B62" s="285" t="s">
        <v>94</v>
      </c>
      <c r="C62" s="566" t="s">
        <v>99</v>
      </c>
      <c r="D62" s="567"/>
      <c r="E62" s="39">
        <v>20.36</v>
      </c>
      <c r="F62" s="285">
        <v>2155</v>
      </c>
      <c r="G62" s="280">
        <f t="shared" si="45"/>
        <v>43875.799999999996</v>
      </c>
      <c r="H62" s="48" t="s">
        <v>126</v>
      </c>
      <c r="I62" s="283">
        <v>17</v>
      </c>
      <c r="J62" s="43">
        <v>2400</v>
      </c>
      <c r="K62" s="18">
        <f t="shared" si="1"/>
        <v>141.1764705882353</v>
      </c>
      <c r="L62" s="283">
        <v>17</v>
      </c>
      <c r="M62" s="19">
        <f t="shared" si="46"/>
        <v>2308.9285714285734</v>
      </c>
      <c r="N62" s="18">
        <f t="shared" si="3"/>
        <v>135.81932773109256</v>
      </c>
      <c r="O62" s="20">
        <f t="shared" si="4"/>
        <v>0</v>
      </c>
      <c r="P62" s="21">
        <f t="shared" si="5"/>
        <v>-5.3571428571427475</v>
      </c>
      <c r="Q62" s="281">
        <f t="shared" si="6"/>
        <v>0.96205357142857217</v>
      </c>
      <c r="R62" s="573"/>
      <c r="S62" s="49">
        <v>0.56319444444444433</v>
      </c>
      <c r="T62" s="49">
        <v>0.60208333333333319</v>
      </c>
      <c r="U62" s="280">
        <f t="shared" si="48"/>
        <v>7.9999999999999716</v>
      </c>
      <c r="V62" s="284">
        <f t="shared" si="47"/>
        <v>55.999999999999957</v>
      </c>
      <c r="W62" s="25"/>
      <c r="X62" s="25"/>
      <c r="Y62" s="28"/>
      <c r="Z62" s="28"/>
      <c r="AA62" s="568"/>
      <c r="AB62" s="569"/>
      <c r="AC62" s="50"/>
      <c r="AD62" s="27"/>
      <c r="AE62" s="20">
        <f t="shared" si="43"/>
        <v>-91.071428571426623</v>
      </c>
      <c r="AF62" s="281">
        <f t="shared" si="9"/>
        <v>0.96205357142857229</v>
      </c>
      <c r="AG62" s="573"/>
    </row>
    <row r="63" spans="1:33" ht="16.5" customHeight="1">
      <c r="A63" s="579" t="s">
        <v>1631</v>
      </c>
      <c r="B63" s="39" t="s">
        <v>1601</v>
      </c>
      <c r="C63" s="570"/>
      <c r="D63" s="571"/>
      <c r="E63" s="282"/>
      <c r="F63" s="42"/>
      <c r="G63" s="18"/>
      <c r="H63" s="285"/>
      <c r="I63" s="32">
        <v>15.857142857142858</v>
      </c>
      <c r="J63" s="43">
        <v>2400</v>
      </c>
      <c r="K63" s="18">
        <f t="shared" si="1"/>
        <v>151.35135135135135</v>
      </c>
      <c r="L63" s="32">
        <v>15.857142857142858</v>
      </c>
      <c r="M63" s="19">
        <f>AVERAGE(M56:M62)</f>
        <v>2300.144756171504</v>
      </c>
      <c r="N63" s="18">
        <f t="shared" si="3"/>
        <v>145.05417381261736</v>
      </c>
      <c r="O63" s="20">
        <f t="shared" si="4"/>
        <v>0</v>
      </c>
      <c r="P63" s="21">
        <f t="shared" si="5"/>
        <v>-6.2971775387339903</v>
      </c>
      <c r="Q63" s="281">
        <f t="shared" si="6"/>
        <v>0.95839364840479324</v>
      </c>
      <c r="R63" s="573"/>
      <c r="S63" s="49"/>
      <c r="T63" s="49"/>
      <c r="U63" s="18"/>
      <c r="V63" s="284"/>
      <c r="W63" s="18"/>
      <c r="X63" s="18"/>
      <c r="Y63" s="33">
        <f>SUM(Y56:Y62)</f>
        <v>0</v>
      </c>
      <c r="Z63" s="33">
        <f>SUM(Z56:Z62)</f>
        <v>0</v>
      </c>
      <c r="AA63" s="572"/>
      <c r="AB63" s="572"/>
      <c r="AC63" s="33">
        <v>7</v>
      </c>
      <c r="AD63" s="33">
        <f>SUM(AD56:AD62)</f>
        <v>0</v>
      </c>
      <c r="AE63" s="20">
        <f t="shared" si="43"/>
        <v>-99.855243828495986</v>
      </c>
      <c r="AF63" s="281">
        <f t="shared" si="9"/>
        <v>0.95839364840479335</v>
      </c>
      <c r="AG63" s="573"/>
    </row>
    <row r="64" spans="1:33">
      <c r="D64" s="35"/>
      <c r="E64" s="35"/>
    </row>
  </sheetData>
  <mergeCells count="179"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C7:D7"/>
    <mergeCell ref="AA7:AB7"/>
    <mergeCell ref="C8:D8"/>
    <mergeCell ref="AA8:AB8"/>
    <mergeCell ref="L1:N2"/>
    <mergeCell ref="O1:R2"/>
    <mergeCell ref="S1:X2"/>
    <mergeCell ref="AA1:AB2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AE1:AG2"/>
    <mergeCell ref="AF3:AF4"/>
    <mergeCell ref="AG3:AG4"/>
    <mergeCell ref="I1:K2"/>
    <mergeCell ref="AG9:AG11"/>
    <mergeCell ref="C10:D10"/>
    <mergeCell ref="AA10:AB10"/>
    <mergeCell ref="C11:D11"/>
    <mergeCell ref="AA11:AB11"/>
    <mergeCell ref="A12:A15"/>
    <mergeCell ref="C12:D12"/>
    <mergeCell ref="R12:R15"/>
    <mergeCell ref="AA12:AB12"/>
    <mergeCell ref="AG12:AG15"/>
    <mergeCell ref="A9:A11"/>
    <mergeCell ref="C9:D9"/>
    <mergeCell ref="R9:R11"/>
    <mergeCell ref="AA9:AB9"/>
    <mergeCell ref="C13:D13"/>
    <mergeCell ref="AA13:AB13"/>
    <mergeCell ref="C14:D14"/>
    <mergeCell ref="AA14:AB14"/>
    <mergeCell ref="C15:D15"/>
    <mergeCell ref="AA15:AB15"/>
    <mergeCell ref="C20:D20"/>
    <mergeCell ref="AA20:AB20"/>
    <mergeCell ref="A16:A22"/>
    <mergeCell ref="C16:D16"/>
    <mergeCell ref="R16:R22"/>
    <mergeCell ref="AA16:AB16"/>
    <mergeCell ref="A23:A29"/>
    <mergeCell ref="C23:D23"/>
    <mergeCell ref="R23:R29"/>
    <mergeCell ref="AA23:AB23"/>
    <mergeCell ref="AG23:AG29"/>
    <mergeCell ref="C24:D24"/>
    <mergeCell ref="AA24:AB24"/>
    <mergeCell ref="C25:D25"/>
    <mergeCell ref="AA25:AB25"/>
    <mergeCell ref="C26:D26"/>
    <mergeCell ref="AG16:AG22"/>
    <mergeCell ref="C17:D17"/>
    <mergeCell ref="AA17:AB17"/>
    <mergeCell ref="C18:D18"/>
    <mergeCell ref="AA18:AB18"/>
    <mergeCell ref="C19:D19"/>
    <mergeCell ref="C21:D21"/>
    <mergeCell ref="AA21:AB21"/>
    <mergeCell ref="C22:D22"/>
    <mergeCell ref="AA22:AB22"/>
    <mergeCell ref="AA26:AB26"/>
    <mergeCell ref="C27:D27"/>
    <mergeCell ref="AA27:AB27"/>
    <mergeCell ref="C28:D28"/>
    <mergeCell ref="AA28:AB28"/>
    <mergeCell ref="C29:D29"/>
    <mergeCell ref="AA29:AB29"/>
    <mergeCell ref="AA19:AB19"/>
    <mergeCell ref="AA33:AB33"/>
    <mergeCell ref="C34:D34"/>
    <mergeCell ref="AA34:AB34"/>
    <mergeCell ref="A30:A35"/>
    <mergeCell ref="C30:D30"/>
    <mergeCell ref="R30:R35"/>
    <mergeCell ref="AA30:AB30"/>
    <mergeCell ref="AG36:AG40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AG30:AG35"/>
    <mergeCell ref="C31:D31"/>
    <mergeCell ref="AA31:AB31"/>
    <mergeCell ref="C32:D32"/>
    <mergeCell ref="AA32:AB32"/>
    <mergeCell ref="C33:D33"/>
    <mergeCell ref="C35:D35"/>
    <mergeCell ref="AA35:AB35"/>
    <mergeCell ref="AG41:AG48"/>
    <mergeCell ref="C42:D42"/>
    <mergeCell ref="AA42:AB42"/>
    <mergeCell ref="C43:D43"/>
    <mergeCell ref="AA43:AB43"/>
    <mergeCell ref="AA44:AB44"/>
    <mergeCell ref="A36:A40"/>
    <mergeCell ref="C36:D36"/>
    <mergeCell ref="R36:R40"/>
    <mergeCell ref="AA36:AB36"/>
    <mergeCell ref="C55:D55"/>
    <mergeCell ref="AA55:AB55"/>
    <mergeCell ref="A41:A48"/>
    <mergeCell ref="C41:D41"/>
    <mergeCell ref="R41:R48"/>
    <mergeCell ref="AA41:AB41"/>
    <mergeCell ref="C50:D50"/>
    <mergeCell ref="AA50:AB50"/>
    <mergeCell ref="C51:D51"/>
    <mergeCell ref="AA51:AB51"/>
    <mergeCell ref="C52:D52"/>
    <mergeCell ref="AA45:AB45"/>
    <mergeCell ref="C46:D46"/>
    <mergeCell ref="AA46:AB46"/>
    <mergeCell ref="C47:D47"/>
    <mergeCell ref="AA47:AB47"/>
    <mergeCell ref="C48:D48"/>
    <mergeCell ref="AA48:AB48"/>
    <mergeCell ref="AA52:AB52"/>
    <mergeCell ref="A49:A55"/>
    <mergeCell ref="C49:D49"/>
    <mergeCell ref="R49:R55"/>
    <mergeCell ref="AA49:AB49"/>
    <mergeCell ref="AG49:AG55"/>
    <mergeCell ref="C53:D53"/>
    <mergeCell ref="AA53:AB53"/>
    <mergeCell ref="C54:D54"/>
    <mergeCell ref="A56:A63"/>
    <mergeCell ref="C56:D56"/>
    <mergeCell ref="R56:R63"/>
    <mergeCell ref="AA56:AB56"/>
    <mergeCell ref="AG56:AG63"/>
    <mergeCell ref="C57:D57"/>
    <mergeCell ref="AA57:AB57"/>
    <mergeCell ref="C58:D58"/>
    <mergeCell ref="AA58:AB58"/>
    <mergeCell ref="C59:D59"/>
    <mergeCell ref="C63:D63"/>
    <mergeCell ref="AA63:AB63"/>
    <mergeCell ref="AA59:AB59"/>
    <mergeCell ref="C60:D60"/>
    <mergeCell ref="AA60:AB60"/>
    <mergeCell ref="C61:D61"/>
    <mergeCell ref="AA61:AB61"/>
    <mergeCell ref="C62:D62"/>
    <mergeCell ref="AA62:AB62"/>
    <mergeCell ref="AA54:AB54"/>
  </mergeCells>
  <phoneticPr fontId="3" type="noConversion"/>
  <conditionalFormatting sqref="O52:O61 O48:O49 O63 O5:O9 O11:O13 O15:O46">
    <cfRule type="cellIs" dxfId="885" priority="41" operator="greaterThan">
      <formula>0</formula>
    </cfRule>
  </conditionalFormatting>
  <conditionalFormatting sqref="P5:P7 P52:P54 AE52:AE54 P56:P61 P23:P28 P49 P9 P11:P13 P16:P21 P41:P46 P30:P39 AE5:AE49 AE56:AE63">
    <cfRule type="cellIs" dxfId="884" priority="45" operator="lessThan">
      <formula>0</formula>
    </cfRule>
  </conditionalFormatting>
  <conditionalFormatting sqref="AF52:AF54 Q52:Q61 Q48:Q49 Q63 Q5:Q9 Q11:Q13 Q15:Q46 AF5:AF49 AF56:AF63">
    <cfRule type="cellIs" dxfId="883" priority="42" operator="greaterThan">
      <formula>1</formula>
    </cfRule>
    <cfRule type="cellIs" dxfId="882" priority="43" operator="lessThan">
      <formula>0.8</formula>
    </cfRule>
  </conditionalFormatting>
  <conditionalFormatting sqref="AG12:AG13 R12:R13 AG52 R52:R61 AG48:AG49 R48:R49 R63 AG5:AG9 R5:R9 AG15:AG46 R15:R46">
    <cfRule type="cellIs" dxfId="881" priority="47" operator="lessThan">
      <formula>0.8</formula>
    </cfRule>
  </conditionalFormatting>
  <conditionalFormatting sqref="AG36">
    <cfRule type="cellIs" dxfId="880" priority="49" operator="lessThan">
      <formula>0.8</formula>
    </cfRule>
  </conditionalFormatting>
  <conditionalFormatting sqref="AG16:AG21">
    <cfRule type="cellIs" dxfId="879" priority="46" operator="lessThan">
      <formula>0.8</formula>
    </cfRule>
  </conditionalFormatting>
  <conditionalFormatting sqref="AG23">
    <cfRule type="cellIs" dxfId="878" priority="48" operator="lessThan">
      <formula>0.8</formula>
    </cfRule>
  </conditionalFormatting>
  <conditionalFormatting sqref="AG30:AG34">
    <cfRule type="cellIs" dxfId="877" priority="44" operator="lessThan">
      <formula>0.8</formula>
    </cfRule>
  </conditionalFormatting>
  <conditionalFormatting sqref="AE55">
    <cfRule type="cellIs" dxfId="876" priority="40" operator="lessThan">
      <formula>0</formula>
    </cfRule>
  </conditionalFormatting>
  <conditionalFormatting sqref="AF55">
    <cfRule type="cellIs" dxfId="875" priority="38" operator="greaterThan">
      <formula>1</formula>
    </cfRule>
    <cfRule type="cellIs" dxfId="874" priority="39" operator="lessThan">
      <formula>0.8</formula>
    </cfRule>
  </conditionalFormatting>
  <conditionalFormatting sqref="O14">
    <cfRule type="cellIs" dxfId="873" priority="33" operator="greaterThan">
      <formula>0</formula>
    </cfRule>
  </conditionalFormatting>
  <conditionalFormatting sqref="P14">
    <cfRule type="cellIs" dxfId="872" priority="36" operator="lessThan">
      <formula>0</formula>
    </cfRule>
  </conditionalFormatting>
  <conditionalFormatting sqref="Q14">
    <cfRule type="cellIs" dxfId="871" priority="34" operator="greaterThan">
      <formula>1</formula>
    </cfRule>
    <cfRule type="cellIs" dxfId="870" priority="35" operator="lessThan">
      <formula>0.8</formula>
    </cfRule>
  </conditionalFormatting>
  <conditionalFormatting sqref="R14 AG14">
    <cfRule type="cellIs" dxfId="869" priority="37" operator="lessThan">
      <formula>0.8</formula>
    </cfRule>
  </conditionalFormatting>
  <conditionalFormatting sqref="O10">
    <cfRule type="cellIs" dxfId="868" priority="29" operator="greaterThan">
      <formula>0</formula>
    </cfRule>
  </conditionalFormatting>
  <conditionalFormatting sqref="P10">
    <cfRule type="cellIs" dxfId="867" priority="32" operator="lessThan">
      <formula>0</formula>
    </cfRule>
  </conditionalFormatting>
  <conditionalFormatting sqref="Q10">
    <cfRule type="cellIs" dxfId="866" priority="30" operator="greaterThan">
      <formula>1</formula>
    </cfRule>
    <cfRule type="cellIs" dxfId="865" priority="31" operator="lessThan">
      <formula>0.8</formula>
    </cfRule>
  </conditionalFormatting>
  <conditionalFormatting sqref="O47">
    <cfRule type="cellIs" dxfId="864" priority="24" operator="greaterThan">
      <formula>0</formula>
    </cfRule>
  </conditionalFormatting>
  <conditionalFormatting sqref="P47">
    <cfRule type="cellIs" dxfId="863" priority="27" operator="lessThan">
      <formula>0</formula>
    </cfRule>
  </conditionalFormatting>
  <conditionalFormatting sqref="Q47">
    <cfRule type="cellIs" dxfId="862" priority="25" operator="greaterThan">
      <formula>1</formula>
    </cfRule>
    <cfRule type="cellIs" dxfId="861" priority="26" operator="lessThan">
      <formula>0.8</formula>
    </cfRule>
  </conditionalFormatting>
  <conditionalFormatting sqref="R47 AG47">
    <cfRule type="cellIs" dxfId="860" priority="28" operator="lessThan">
      <formula>0.8</formula>
    </cfRule>
  </conditionalFormatting>
  <conditionalFormatting sqref="O51">
    <cfRule type="cellIs" dxfId="859" priority="19" operator="greaterThan">
      <formula>0</formula>
    </cfRule>
  </conditionalFormatting>
  <conditionalFormatting sqref="P51 AE51">
    <cfRule type="cellIs" dxfId="858" priority="22" operator="lessThan">
      <formula>0</formula>
    </cfRule>
  </conditionalFormatting>
  <conditionalFormatting sqref="Q51 AF51">
    <cfRule type="cellIs" dxfId="857" priority="20" operator="greaterThan">
      <formula>1</formula>
    </cfRule>
    <cfRule type="cellIs" dxfId="856" priority="21" operator="lessThan">
      <formula>0.8</formula>
    </cfRule>
  </conditionalFormatting>
  <conditionalFormatting sqref="R51 AG51">
    <cfRule type="cellIs" dxfId="855" priority="23" operator="lessThan">
      <formula>0.8</formula>
    </cfRule>
  </conditionalFormatting>
  <conditionalFormatting sqref="O62">
    <cfRule type="cellIs" dxfId="854" priority="14" operator="greaterThan">
      <formula>0</formula>
    </cfRule>
  </conditionalFormatting>
  <conditionalFormatting sqref="P62">
    <cfRule type="cellIs" dxfId="853" priority="17" operator="lessThan">
      <formula>0</formula>
    </cfRule>
  </conditionalFormatting>
  <conditionalFormatting sqref="Q62">
    <cfRule type="cellIs" dxfId="852" priority="15" operator="greaterThan">
      <formula>1</formula>
    </cfRule>
    <cfRule type="cellIs" dxfId="851" priority="16" operator="lessThan">
      <formula>0.8</formula>
    </cfRule>
  </conditionalFormatting>
  <conditionalFormatting sqref="R62">
    <cfRule type="cellIs" dxfId="850" priority="18" operator="lessThan">
      <formula>0.8</formula>
    </cfRule>
  </conditionalFormatting>
  <conditionalFormatting sqref="O50">
    <cfRule type="cellIs" dxfId="849" priority="9" operator="greaterThan">
      <formula>0</formula>
    </cfRule>
  </conditionalFormatting>
  <conditionalFormatting sqref="P50 AE50">
    <cfRule type="cellIs" dxfId="848" priority="12" operator="lessThan">
      <formula>0</formula>
    </cfRule>
  </conditionalFormatting>
  <conditionalFormatting sqref="Q50 AF50">
    <cfRule type="cellIs" dxfId="847" priority="10" operator="greaterThan">
      <formula>1</formula>
    </cfRule>
    <cfRule type="cellIs" dxfId="846" priority="11" operator="lessThan">
      <formula>0.8</formula>
    </cfRule>
  </conditionalFormatting>
  <conditionalFormatting sqref="R50 AG50">
    <cfRule type="cellIs" dxfId="845" priority="13" operator="lessThan">
      <formula>0.8</formula>
    </cfRule>
  </conditionalFormatting>
  <conditionalFormatting sqref="P8">
    <cfRule type="cellIs" dxfId="844" priority="8" operator="lessThan">
      <formula>0</formula>
    </cfRule>
  </conditionalFormatting>
  <conditionalFormatting sqref="P15">
    <cfRule type="cellIs" dxfId="843" priority="7" operator="lessThan">
      <formula>0</formula>
    </cfRule>
  </conditionalFormatting>
  <conditionalFormatting sqref="P22">
    <cfRule type="cellIs" dxfId="842" priority="6" operator="lessThan">
      <formula>0</formula>
    </cfRule>
  </conditionalFormatting>
  <conditionalFormatting sqref="P29">
    <cfRule type="cellIs" dxfId="841" priority="5" operator="lessThan">
      <formula>0</formula>
    </cfRule>
  </conditionalFormatting>
  <conditionalFormatting sqref="P40">
    <cfRule type="cellIs" dxfId="840" priority="4" operator="lessThan">
      <formula>0</formula>
    </cfRule>
  </conditionalFormatting>
  <conditionalFormatting sqref="P48">
    <cfRule type="cellIs" dxfId="839" priority="3" operator="lessThan">
      <formula>0</formula>
    </cfRule>
  </conditionalFormatting>
  <conditionalFormatting sqref="P55">
    <cfRule type="cellIs" dxfId="838" priority="2" operator="lessThan">
      <formula>0</formula>
    </cfRule>
  </conditionalFormatting>
  <conditionalFormatting sqref="P63">
    <cfRule type="cellIs" dxfId="837" priority="1" operator="lessThan">
      <formula>0</formula>
    </cfRule>
  </conditionalFormatting>
  <dataValidations count="1">
    <dataValidation type="list" allowBlank="1" showInputMessage="1" showErrorMessage="1" sqref="AB8 AA5:AB7 AB53:AB54 AA8:AA54 AB10:AB49 AA55:AB6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B1" sqref="B1:J2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1445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128</v>
      </c>
      <c r="C3" s="555" t="str">
        <f>TEXT('0514 4度C'!A2,"yyyy.mm.ddaaaa")</f>
        <v>2026.05.14星期四</v>
      </c>
      <c r="D3" s="556"/>
      <c r="E3" s="54" t="s">
        <v>1446</v>
      </c>
      <c r="F3" s="557">
        <f>'0514 4度C'!D1</f>
        <v>169501</v>
      </c>
      <c r="G3" s="558"/>
      <c r="H3" s="54" t="s">
        <v>194</v>
      </c>
      <c r="I3" s="559">
        <f>'0514 4度C'!F1</f>
        <v>5657228.6200000001</v>
      </c>
      <c r="J3" s="560"/>
      <c r="K3" s="55"/>
      <c r="L3" s="56"/>
      <c r="M3" s="57"/>
      <c r="N3" s="57"/>
    </row>
    <row r="4" spans="2:17" ht="28.5" customHeight="1">
      <c r="B4" s="561" t="s">
        <v>131</v>
      </c>
      <c r="C4" s="547" t="s">
        <v>132</v>
      </c>
      <c r="D4" s="548"/>
      <c r="E4" s="564" t="s">
        <v>133</v>
      </c>
      <c r="F4" s="565"/>
      <c r="G4" s="564" t="s">
        <v>134</v>
      </c>
      <c r="H4" s="565"/>
      <c r="I4" s="564" t="s">
        <v>135</v>
      </c>
      <c r="J4" s="565"/>
      <c r="K4" s="545" t="s">
        <v>200</v>
      </c>
      <c r="L4" s="546"/>
      <c r="M4" s="546" t="s">
        <v>137</v>
      </c>
      <c r="N4" s="546"/>
    </row>
    <row r="5" spans="2:17" ht="28.5" customHeight="1">
      <c r="B5" s="562"/>
      <c r="C5" s="547" t="s">
        <v>138</v>
      </c>
      <c r="D5" s="548"/>
      <c r="E5" s="547" t="s">
        <v>139</v>
      </c>
      <c r="F5" s="548"/>
      <c r="G5" s="549" t="s">
        <v>140</v>
      </c>
      <c r="H5" s="550"/>
      <c r="I5" s="551" t="s">
        <v>141</v>
      </c>
      <c r="J5" s="552"/>
      <c r="K5" s="58" t="s">
        <v>142</v>
      </c>
      <c r="L5" s="59" t="s">
        <v>143</v>
      </c>
      <c r="M5" s="58" t="s">
        <v>142</v>
      </c>
      <c r="N5" s="59" t="s">
        <v>144</v>
      </c>
    </row>
    <row r="6" spans="2:17" ht="28.5" customHeight="1">
      <c r="B6" s="562"/>
      <c r="C6" s="547" t="s">
        <v>145</v>
      </c>
      <c r="D6" s="548"/>
      <c r="E6" s="539">
        <f>AVERAGE(D13:M13)</f>
        <v>149.74301180263424</v>
      </c>
      <c r="F6" s="540">
        <f>AVERAGE(D31:O31,D13:J13)</f>
        <v>156.31101732437236</v>
      </c>
      <c r="G6" s="541">
        <f>AVERAGE(D13:J13)</f>
        <v>156.31101732437236</v>
      </c>
      <c r="H6" s="542"/>
      <c r="I6" s="541">
        <f>AVERAGE(K13:M13)</f>
        <v>134.41766558524526</v>
      </c>
      <c r="J6" s="542"/>
      <c r="K6" s="543">
        <f>'0514 4度C'!Y2</f>
        <v>0</v>
      </c>
      <c r="L6" s="528">
        <f>'0514 4度C'!Z2</f>
        <v>0</v>
      </c>
      <c r="M6" s="544">
        <f>'0514 4度C'!AC2</f>
        <v>55</v>
      </c>
      <c r="N6" s="528">
        <f>'0514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143.40571794348429</v>
      </c>
      <c r="F7" s="532">
        <f>AVERAGE(D32:O32,D14:J14)</f>
        <v>149.83146664773921</v>
      </c>
      <c r="G7" s="533">
        <f>AVERAGE(D14:J14)</f>
        <v>149.83146664773921</v>
      </c>
      <c r="H7" s="534"/>
      <c r="I7" s="533">
        <f>AVERAGE(K14:M14)</f>
        <v>128.41230430022279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0.95729668866492301</v>
      </c>
      <c r="F8" s="536">
        <f>AVERAGE(D15:J15,D33:O33)</f>
        <v>0.95816224464486077</v>
      </c>
      <c r="G8" s="537">
        <f>AVERAGE(D15:J15)</f>
        <v>0.95816224464486077</v>
      </c>
      <c r="H8" s="538"/>
      <c r="I8" s="537">
        <f>AVERAGE(K15:M15)</f>
        <v>0.95527705804506757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148</v>
      </c>
      <c r="N9" s="57"/>
      <c r="O9" s="57"/>
      <c r="P9" s="57"/>
      <c r="Q9" s="57"/>
    </row>
    <row r="10" spans="2:17" ht="30" customHeight="1">
      <c r="B10" s="511" t="s">
        <v>1447</v>
      </c>
      <c r="C10" s="512"/>
      <c r="D10" s="513" t="s">
        <v>1448</v>
      </c>
      <c r="E10" s="514"/>
      <c r="F10" s="514"/>
      <c r="G10" s="514"/>
      <c r="H10" s="514"/>
      <c r="I10" s="514"/>
      <c r="J10" s="515"/>
      <c r="K10" s="516" t="s">
        <v>1449</v>
      </c>
      <c r="L10" s="517"/>
      <c r="M10" s="518"/>
      <c r="P10" s="63"/>
      <c r="Q10" s="63"/>
    </row>
    <row r="11" spans="2:17" ht="17.25" customHeight="1">
      <c r="B11" s="519" t="s">
        <v>1450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1451</v>
      </c>
      <c r="C13" s="70" t="s">
        <v>1452</v>
      </c>
      <c r="D13" s="71">
        <f>SUMIFS('0514 4度C'!$K:$K,'0514 4度C'!$A:$A,"新豐6線",'0514 4度C'!$B:$B,"平均")</f>
        <v>125</v>
      </c>
      <c r="E13" s="72">
        <f>SUMIFS('0514 4度C'!$K:$K,'0514 4度C'!$A:$A,"新豐2線",'0514 4度C'!$B:$B,"平均")</f>
        <v>84.905660377358487</v>
      </c>
      <c r="F13" s="73">
        <f>SUMIFS('0514 4度C'!$K:$K,'0514 4度C'!$A:$A,"新豐5線",'0514 4度C'!$B:$B,"平均")</f>
        <v>87.719298245614041</v>
      </c>
      <c r="G13" s="73">
        <f>SUMIFS('0514 4度C'!$K:$K,'0514 4度C'!$A:$A,"新豐7線",'0514 4度C'!$B:$B,"平均")</f>
        <v>121.05263157894737</v>
      </c>
      <c r="H13" s="73">
        <f>SUMIFS('0514 4度C'!$K:$K,'0514 4度C'!$A:$A,"新豐3線",'0514 4度C'!$B:$B,"平均")</f>
        <v>255.81395348837211</v>
      </c>
      <c r="I13" s="73">
        <f>SUMIFS('0514 4度C'!$K:$K,'0514 4度C'!$A:$A,"新豐1線",'0514 4度C'!$B:$B,"平均")</f>
        <v>103.8961038961039</v>
      </c>
      <c r="J13" s="74">
        <f>SUMIFS('0514 4度C'!$K:$K,'0514 4度C'!$A:$A,"新豐10線",'0514 4度C'!$B:$B,"平均")</f>
        <v>315.78947368421052</v>
      </c>
      <c r="K13" s="75">
        <f>SUMIFS('0514 4度C'!$K:$K,'0514 4度C'!$A:$A,"新豐8線",'0514 4度C'!$B:$B,"平均")</f>
        <v>138.12949640287769</v>
      </c>
      <c r="L13" s="76">
        <f>SUMIFS('0514 4度C'!$K:$K,'0514 4度C'!$A:$A,"新豐9線",'0514 4度C'!$B:$B,"平均")</f>
        <v>117.43119266055047</v>
      </c>
      <c r="M13" s="74">
        <f>SUMIFS('0514 4度C'!$K:$K,'0514 4度C'!$A:$A,"新豐4線",'0514 4度C'!$B:$B,"平均")</f>
        <v>147.69230769230768</v>
      </c>
    </row>
    <row r="14" spans="2:17" ht="39.6" customHeight="1">
      <c r="B14" s="524"/>
      <c r="C14" s="77" t="s">
        <v>1453</v>
      </c>
      <c r="D14" s="78">
        <f>SUMIFS('0514 4度C'!$N:$N,'0514 4度C'!$A:$A,"新豐6線",'0514 4度C'!$B:$B,"平均")</f>
        <v>120.49963450292394</v>
      </c>
      <c r="E14" s="79">
        <f>SUMIFS('0514 4度C'!$N:$N,'0514 4度C'!$A:$A,"新豐2線",'0514 4度C'!$B:$B,"平均")</f>
        <v>81.051817267625736</v>
      </c>
      <c r="F14" s="79">
        <f>SUMIFS('0514 4度C'!$N:$N,'0514 4度C'!$A:$A,"新豐5線",'0514 4度C'!$B:$B,"平均")</f>
        <v>83.690429352861315</v>
      </c>
      <c r="G14" s="79">
        <f>SUMIFS('0514 4度C'!$N:$N,'0514 4度C'!$A:$A,"新豐7線",'0514 4度C'!$B:$B,"平均")</f>
        <v>116.41433561467335</v>
      </c>
      <c r="H14" s="79">
        <f>SUMIFS('0514 4度C'!$N:$N,'0514 4度C'!$A:$A,"新豐3線",'0514 4度C'!$B:$B,"平均")</f>
        <v>244.10853718549393</v>
      </c>
      <c r="I14" s="79">
        <f>SUMIFS('0514 4度C'!$N:$N,'0514 4度C'!$A:$A,"新豐1線",'0514 4度C'!$B:$B,"平均")</f>
        <v>99.435698698388777</v>
      </c>
      <c r="J14" s="80">
        <f>SUMIFS('0514 4度C'!$N:$N,'0514 4度C'!$A:$A,"新豐10線",'0514 4度C'!$B:$B,"平均")</f>
        <v>303.61981391220723</v>
      </c>
      <c r="K14" s="81">
        <f>SUMIFS('0514 4度C'!$N:$N,'0514 4度C'!$A:$A,"新豐8線",'0514 4度C'!$B:$B,"平均")</f>
        <v>131.8695226637746</v>
      </c>
      <c r="L14" s="82">
        <f>SUMIFS('0514 4度C'!$N:$N,'0514 4度C'!$A:$A,"新豐9線",'0514 4度C'!$B:$B,"平均")</f>
        <v>112.1293779801501</v>
      </c>
      <c r="M14" s="80">
        <f>SUMIFS('0514 4度C'!$N:$N,'0514 4度C'!$A:$A,"新豐4線",'0514 4度C'!$B:$B,"平均")</f>
        <v>141.23801225674367</v>
      </c>
    </row>
    <row r="15" spans="2:17" ht="40.15" customHeight="1">
      <c r="B15" s="525"/>
      <c r="C15" s="83" t="s">
        <v>1454</v>
      </c>
      <c r="D15" s="84">
        <f t="shared" ref="D15:M15" si="0">D14/D13</f>
        <v>0.96399707602339146</v>
      </c>
      <c r="E15" s="85">
        <f t="shared" si="0"/>
        <v>0.95461029226314764</v>
      </c>
      <c r="F15" s="85">
        <f t="shared" si="0"/>
        <v>0.95407089462261896</v>
      </c>
      <c r="G15" s="85">
        <f t="shared" si="0"/>
        <v>0.96168364203425805</v>
      </c>
      <c r="H15" s="85">
        <f t="shared" si="0"/>
        <v>0.95424246354329445</v>
      </c>
      <c r="I15" s="85">
        <f t="shared" si="0"/>
        <v>0.95706859997199201</v>
      </c>
      <c r="J15" s="86">
        <f t="shared" si="0"/>
        <v>0.96146274405532295</v>
      </c>
      <c r="K15" s="84">
        <f t="shared" si="0"/>
        <v>0.95468039845128494</v>
      </c>
      <c r="L15" s="85">
        <f t="shared" si="0"/>
        <v>0.9548517343622156</v>
      </c>
      <c r="M15" s="86">
        <f t="shared" si="0"/>
        <v>0.95629904132170207</v>
      </c>
    </row>
    <row r="16" spans="2:17" ht="17.25" customHeight="1">
      <c r="B16" s="526" t="s">
        <v>1455</v>
      </c>
      <c r="C16" s="87" t="s">
        <v>1456</v>
      </c>
      <c r="D16" s="88">
        <f>VLOOKUP("新豐6線",'0514 4度C'!$A:$T,19,0)</f>
        <v>0.70833333333333337</v>
      </c>
      <c r="E16" s="89">
        <f>VLOOKUP("新豐2線",'0514 4度C'!$A:$T,19,0)</f>
        <v>0.20833333333333334</v>
      </c>
      <c r="F16" s="89">
        <f>VLOOKUP("新豐5線",'0514 4度C'!$A:$T,19,0)</f>
        <v>0.20833333333333334</v>
      </c>
      <c r="G16" s="89">
        <f>VLOOKUP("新豐7線",'0514 4度C'!$A:$T,19,0)</f>
        <v>0.20833333333333334</v>
      </c>
      <c r="H16" s="89">
        <f>VLOOKUP("新豐3線",'0514 4度C'!$A:$T,19,0)</f>
        <v>8.3333333333333329E-2</v>
      </c>
      <c r="I16" s="89">
        <f>VLOOKUP("新豐1線",'0514 4度C'!$A:$T,19,0)</f>
        <v>0.20833333333333334</v>
      </c>
      <c r="J16" s="90">
        <f>VLOOKUP("新豐10線",'0514 4度C'!$A:$T,19,0)</f>
        <v>0.20833333333333334</v>
      </c>
      <c r="K16" s="91">
        <f>VLOOKUP("新豐8線",'0514 4度C'!$A:$T,19,0)</f>
        <v>8.3333333333333329E-2</v>
      </c>
      <c r="L16" s="92">
        <f>VLOOKUP("新豐9線",'0514 4度C'!$A:$T,19,0)</f>
        <v>8.3333333333333329E-2</v>
      </c>
      <c r="M16" s="93">
        <f>VLOOKUP("新豐4線",'0514 4度C'!$A:$T,19,0)</f>
        <v>8.3333333333333329E-2</v>
      </c>
    </row>
    <row r="17" spans="2:13" ht="17.25" customHeight="1">
      <c r="B17" s="527"/>
      <c r="C17" s="87" t="s">
        <v>1457</v>
      </c>
      <c r="D17" s="91">
        <f>LOOKUP(2,1/(('0514 4度C'!$A:$A="新豐6線")*('0514 4度C'!$T:$T&lt;&gt;"")),'0514 4度C'!$T:$T)</f>
        <v>0.80347222222222225</v>
      </c>
      <c r="E17" s="89">
        <f>LOOKUP(2,1/(('0514 4度C'!$A:$A="新豐2線")*('0514 4度C'!$T:$T&lt;&gt;"")),'0514 4度C'!$T:$T)</f>
        <v>0.56736111111111109</v>
      </c>
      <c r="F17" s="89">
        <f>LOOKUP(2,1/(('0514 4度C'!$A:$A="新豐5線")*('0514 4度C'!$T:$T&lt;&gt;"")),'0514 4度C'!$T:$T)</f>
        <v>0.78263888888888888</v>
      </c>
      <c r="G17" s="89">
        <f>LOOKUP(2,1/(('0514 4度C'!$A:$A="新豐7線")*('0514 4度C'!$T:$T&lt;&gt;"")),'0514 4度C'!$T:$T)</f>
        <v>0.78680555555555554</v>
      </c>
      <c r="H17" s="89">
        <f>LOOKUP(2,1/(('0514 4度C'!$A:$A="新豐3線")*('0514 4度C'!$T:$T&lt;&gt;"")),'0514 4度C'!$T:$T)</f>
        <v>0.40486111111111112</v>
      </c>
      <c r="I17" s="89">
        <f>LOOKUP(2,1/(('0514 4度C'!$A:$A="新豐1線")*('0514 4度C'!$T:$T&lt;&gt;"")),'0514 4度C'!$T:$T)</f>
        <v>0.76736111111111116</v>
      </c>
      <c r="J17" s="90">
        <f>LOOKUP(2,1/(('0514 4度C'!$A:$A="新豐10線")*('0514 4度C'!$T:$T&lt;&gt;"")),'0514 4度C'!$T:$T)</f>
        <v>0.42083333333333328</v>
      </c>
      <c r="K17" s="88">
        <f>LOOKUP(2,1/(('0514 4度C'!$A:$A="新豐8線")*('0514 4度C'!$T:$T&lt;&gt;"")),'0514 4度C'!$T:$T)</f>
        <v>0.75138888888888888</v>
      </c>
      <c r="L17" s="89">
        <f>LOOKUP(2,1/(('0514 4度C'!$A:$A="新豐9線")*('0514 4度C'!$T:$T&lt;&gt;"")),'0514 4度C'!$T:$T)</f>
        <v>0.71666666666666667</v>
      </c>
      <c r="M17" s="90">
        <f>LOOKUP(2,1/(('0514 4度C'!$A:$A="新豐4線")*('0514 4度C'!$T:$T&lt;&gt;"")),'0514 4度C'!$T:$T)</f>
        <v>0.71458333333333313</v>
      </c>
    </row>
    <row r="18" spans="2:13" ht="17.25" customHeight="1">
      <c r="B18" s="505" t="s">
        <v>1458</v>
      </c>
      <c r="C18" s="94" t="s">
        <v>1459</v>
      </c>
      <c r="D18" s="95">
        <f>SUMIFS('0514 4度C'!$Y:$Y,'0514 4度C'!$A:$A,"新豐6線",'0514 4度C'!$B:$B,"平均")</f>
        <v>0</v>
      </c>
      <c r="E18" s="96">
        <f>SUMIFS('0514 4度C'!$Y:$Y,'0514 4度C'!$A:$A,"新豐2線",'0514 4度C'!$B:$B,"平均")</f>
        <v>0</v>
      </c>
      <c r="F18" s="96">
        <f>SUMIFS('0514 4度C'!$Y:$Y,'0514 4度C'!$A:$A,"新豐5線",'0514 4度C'!$B:$B,"平均")</f>
        <v>0</v>
      </c>
      <c r="G18" s="96">
        <f>SUMIFS('0514 4度C'!$Y:$Y,'0514 4度C'!$A:$A,"新豐7線",'0514 4度C'!$B:$B,"平均")</f>
        <v>0</v>
      </c>
      <c r="H18" s="96">
        <f>SUMIFS('0514 4度C'!$Y:$Y,'0514 4度C'!$A:$A,"新豐3線",'0514 4度C'!$B:$B,"平均")</f>
        <v>0</v>
      </c>
      <c r="I18" s="96">
        <f>SUMIFS('0514 4度C'!$Y:$Y,'0514 4度C'!$A:$A,"新豐1線",'0514 4度C'!$B:$B,"平均")</f>
        <v>0</v>
      </c>
      <c r="J18" s="97">
        <f>SUMIFS('0514 4度C'!$Y:$Y,'0514 4度C'!$A:$A,"新豐10線",'0514 4度C'!$B:$B,"平均")</f>
        <v>0</v>
      </c>
      <c r="K18" s="98">
        <f>SUMIFS('0514 4度C'!$Y:$Y,'0514 4度C'!$A:$A,"新豐8線",'0514 4度C'!$B:$B,"平均")</f>
        <v>0</v>
      </c>
      <c r="L18" s="96">
        <f>SUMIFS('0514 4度C'!$Y:$Y,'0514 4度C'!$A:$A,"新豐9線",'0514 4度C'!$B:$B,"平均")</f>
        <v>0</v>
      </c>
      <c r="M18" s="97">
        <f>SUMIFS('0514 4度C'!$Y:$Y,'0514 4度C'!$A:$A,"新豐4線",'0514 4度C'!$B:$B,"平均")</f>
        <v>0</v>
      </c>
    </row>
    <row r="19" spans="2:13" ht="17.25" customHeight="1">
      <c r="B19" s="506"/>
      <c r="C19" s="94" t="s">
        <v>1460</v>
      </c>
      <c r="D19" s="95">
        <f>SUMIFS('0514 4度C'!$Z:$Z,'0514 4度C'!$A:$A,"新豐6線",'0514 4度C'!$B:$B,"平均")</f>
        <v>0</v>
      </c>
      <c r="E19" s="96">
        <f>SUMIFS('0514 4度C'!$Z:$Z,'0514 4度C'!$A:$A,"新豐2線",'0514 4度C'!$B:$B,"平均")</f>
        <v>0</v>
      </c>
      <c r="F19" s="96">
        <f>SUMIFS('0514 4度C'!$Z:$Z,'0514 4度C'!$A:$A,"新豐5線",'0514 4度C'!$B:$B,"平均")</f>
        <v>0</v>
      </c>
      <c r="G19" s="96">
        <f>SUMIFS('0514 4度C'!$Z:$Z,'0514 4度C'!$A:$A,"新豐7線",'0514 4度C'!$B:$B,"平均")</f>
        <v>0</v>
      </c>
      <c r="H19" s="96">
        <f>SUMIFS('0514 4度C'!$Z:$Z,'0514 4度C'!$A:$A,"新豐3線",'0514 4度C'!$B:$B,"平均")</f>
        <v>0</v>
      </c>
      <c r="I19" s="96">
        <f>SUMIFS('0514 4度C'!$Z:$Z,'0514 4度C'!$A:$A,"新豐1線",'0514 4度C'!$B:$B,"平均")</f>
        <v>0</v>
      </c>
      <c r="J19" s="97">
        <f>SUMIFS('0514 4度C'!$Z:$Z,'0514 4度C'!$A:$A,"新豐10線",'0514 4度C'!$B:$B,"平均")</f>
        <v>0</v>
      </c>
      <c r="K19" s="98">
        <f>SUMIFS('0514 4度C'!$Z:$Z,'0514 4度C'!$A:$A,"新豐8線",'0514 4度C'!$B:$B,"平均")</f>
        <v>0</v>
      </c>
      <c r="L19" s="96">
        <f>SUMIFS('0514 4度C'!$Z:$Z,'0514 4度C'!$A:$A,"新豐9線",'0514 4度C'!$B:$B,"平均")</f>
        <v>0</v>
      </c>
      <c r="M19" s="97">
        <f>SUMIFS('0514 4度C'!$Z:$Z,'0514 4度C'!$A:$A,"新豐4線",'0514 4度C'!$B:$B,"平均")</f>
        <v>0</v>
      </c>
    </row>
    <row r="20" spans="2:13" ht="17.25" customHeight="1">
      <c r="B20" s="505" t="s">
        <v>1461</v>
      </c>
      <c r="C20" s="94" t="s">
        <v>1459</v>
      </c>
      <c r="D20" s="95">
        <f>SUMIFS('0514 4度C'!$AC:$AC,'0514 4度C'!$A:$A,"新豐6線",'0514 4度C'!$B:$B,"平均")</f>
        <v>3</v>
      </c>
      <c r="E20" s="96">
        <f>SUMIFS('0514 4度C'!$AC:$AC,'0514 4度C'!$A:$A,"新豐2線",'0514 4度C'!$B:$B,"平均")</f>
        <v>3</v>
      </c>
      <c r="F20" s="96">
        <f>SUMIFS('0514 4度C'!$AC:$AC,'0514 4度C'!$A:$A,"新豐5線",'0514 4度C'!$B:$B,"平均")</f>
        <v>3</v>
      </c>
      <c r="G20" s="96">
        <f>SUMIFS('0514 4度C'!$AC:$AC,'0514 4度C'!$A:$A,"新豐7線",'0514 4度C'!$B:$B,"平均")</f>
        <v>6</v>
      </c>
      <c r="H20" s="96">
        <f>SUMIFS('0514 4度C'!$AC:$AC,'0514 4度C'!$A:$A,"新豐3線",'0514 4度C'!$B:$B,"平均")</f>
        <v>4</v>
      </c>
      <c r="I20" s="96">
        <f>SUMIFS('0514 4度C'!$AC:$AC,'0514 4度C'!$A:$A,"新豐1線",'0514 4度C'!$B:$B,"平均")</f>
        <v>8</v>
      </c>
      <c r="J20" s="97">
        <f>SUMIFS('0514 4度C'!$AC:$AC,'0514 4度C'!$A:$A,"新豐10線",'0514 4度C'!$B:$B,"平均")</f>
        <v>6</v>
      </c>
      <c r="K20" s="98">
        <f>SUMIFS('0514 4度C'!$AC:$AC,'0514 4度C'!$A:$A,"新豐8線",'0514 4度C'!$B:$B,"平均")</f>
        <v>8</v>
      </c>
      <c r="L20" s="96">
        <f>SUMIFS('0514 4度C'!$AC:$AC,'0514 4度C'!$A:$A,"新豐9線",'0514 4度C'!$B:$B,"平均")</f>
        <v>6</v>
      </c>
      <c r="M20" s="97">
        <f>SUMIFS('0514 4度C'!$AC:$AC,'0514 4度C'!$A:$A,"新豐4線",'0514 4度C'!$B:$B,"平均")</f>
        <v>8</v>
      </c>
    </row>
    <row r="21" spans="2:13" ht="17.25" customHeight="1">
      <c r="B21" s="506"/>
      <c r="C21" s="94" t="s">
        <v>1462</v>
      </c>
      <c r="D21" s="95">
        <f>SUMIFS('0514 4度C'!$AD:$AD,'0514 4度C'!$A:$A,"新豐6線",'0514 4度C'!$B:$B,"平均")</f>
        <v>0</v>
      </c>
      <c r="E21" s="96">
        <f>SUMIFS('0514 4度C'!$AD:$AD,'0514 4度C'!$A:$A,"新豐2線",'0514 4度C'!$B:$B,"平均")</f>
        <v>0</v>
      </c>
      <c r="F21" s="96">
        <f>SUMIFS('0514 4度C'!$AD:$AD,'0514 4度C'!$A:$A,"新豐5線",'0514 4度C'!$B:$B,"平均")</f>
        <v>0</v>
      </c>
      <c r="G21" s="96">
        <f>SUMIFS('0514 4度C'!$AD:$AD,'0514 4度C'!$A:$A,"新豐7線",'0514 4度C'!$B:$B,"平均")</f>
        <v>0</v>
      </c>
      <c r="H21" s="96">
        <f>SUMIFS('0514 4度C'!$AD:$AD,'0514 4度C'!$A:$A,"新豐3線",'0514 4度C'!$B:$B,"平均")</f>
        <v>0</v>
      </c>
      <c r="I21" s="96">
        <f>SUMIFS('0514 4度C'!$AD:$AD,'0514 4度C'!$A:$A,"新豐1線",'0514 4度C'!$B:$B,"平均")</f>
        <v>0</v>
      </c>
      <c r="J21" s="97">
        <f>SUMIFS('0514 4度C'!$AD:$AD,'0514 4度C'!$A:$A,"新豐10線",'0514 4度C'!$B:$B,"平均")</f>
        <v>0</v>
      </c>
      <c r="K21" s="98">
        <f>SUMIFS('0514 4度C'!$AD:$AD,'0514 4度C'!$A:$A,"新豐8線",'0514 4度C'!$B:$B,"平均")</f>
        <v>0</v>
      </c>
      <c r="L21" s="96">
        <f>SUMIFS('0514 4度C'!$AD:$AD,'0514 4度C'!$A:$A,"新豐9線",'0514 4度C'!$B:$B,"平均")</f>
        <v>0</v>
      </c>
      <c r="M21" s="97">
        <f>SUMIFS('0514 4度C'!$AD:$AD,'0514 4度C'!$A:$A,"新豐4線",'0514 4度C'!$B:$B,"平均")</f>
        <v>0</v>
      </c>
    </row>
    <row r="22" spans="2:13" ht="17.25" customHeight="1">
      <c r="B22" s="507" t="s">
        <v>1463</v>
      </c>
      <c r="C22" s="508"/>
      <c r="D22" s="99">
        <f>SUMIFS('0514 4度C'!$I:$I,'0514 4度C'!$A:$A,"新豐6線",'0514 4度C'!$B:$B,"平均")</f>
        <v>16</v>
      </c>
      <c r="E22" s="100">
        <f>SUMIFS('0514 4度C'!$I:$I,'0514 4度C'!$A:$A,"新豐2線",'0514 4度C'!$B:$B,"平均")</f>
        <v>17.666666666666668</v>
      </c>
      <c r="F22" s="100">
        <f>SUMIFS('0514 4度C'!$I:$I,'0514 4度C'!$A:$A,"新豐5線",'0514 4度C'!$B:$B,"平均")</f>
        <v>19</v>
      </c>
      <c r="G22" s="100">
        <f>SUMIFS('0514 4度C'!$I:$I,'0514 4度C'!$A:$A,"新豐7線",'0514 4度C'!$B:$B,"平均")</f>
        <v>15.833333333333334</v>
      </c>
      <c r="H22" s="100">
        <f>SUMIFS('0514 4度C'!$I:$I,'0514 4度C'!$A:$A,"新豐3線",'0514 4度C'!$B:$B,"平均")</f>
        <v>10.75</v>
      </c>
      <c r="I22" s="100">
        <f>SUMIFS('0514 4度C'!$I:$I,'0514 4度C'!$A:$A,"新豐1線",'0514 4度C'!$B:$B,"平均")</f>
        <v>19.25</v>
      </c>
      <c r="J22" s="101">
        <f>SUMIFS('0514 4度C'!$I:$I,'0514 4度C'!$A:$A,"新豐10線",'0514 4度C'!$B:$B,"平均")</f>
        <v>9.5</v>
      </c>
      <c r="K22" s="99">
        <f>SUMIFS('0514 4度C'!$I:$I,'0514 4度C'!$A:$A,"新豐8線",'0514 4度C'!$B:$B,"平均")</f>
        <v>17.375</v>
      </c>
      <c r="L22" s="100">
        <f>SUMIFS('0514 4度C'!$I:$I,'0514 4度C'!$A:$A,"新豐9線",'0514 4度C'!$B:$B,"平均")</f>
        <v>18.166666666666668</v>
      </c>
      <c r="M22" s="101">
        <f>SUMIFS('0514 4度C'!$I:$I,'0514 4度C'!$A:$A,"新豐4線",'0514 4度C'!$B:$B,"平均")</f>
        <v>16.25</v>
      </c>
    </row>
    <row r="23" spans="2:13" ht="17.25" customHeight="1">
      <c r="B23" s="507" t="s">
        <v>1464</v>
      </c>
      <c r="C23" s="508"/>
      <c r="D23" s="102" t="s">
        <v>177</v>
      </c>
      <c r="E23" s="103" t="s">
        <v>178</v>
      </c>
      <c r="F23" s="103" t="s">
        <v>1465</v>
      </c>
      <c r="G23" s="103" t="s">
        <v>1465</v>
      </c>
      <c r="H23" s="103" t="s">
        <v>180</v>
      </c>
      <c r="I23" s="103" t="s">
        <v>177</v>
      </c>
      <c r="J23" s="104" t="s">
        <v>180</v>
      </c>
      <c r="K23" s="102" t="s">
        <v>1466</v>
      </c>
      <c r="L23" s="103" t="s">
        <v>181</v>
      </c>
      <c r="M23" s="104" t="s">
        <v>1467</v>
      </c>
    </row>
    <row r="24" spans="2:13" ht="17.25" customHeight="1">
      <c r="B24" s="507" t="s">
        <v>1468</v>
      </c>
      <c r="C24" s="508"/>
      <c r="D24" s="102"/>
      <c r="E24" s="103"/>
      <c r="F24" s="103" t="s">
        <v>1469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1470</v>
      </c>
      <c r="C25" s="510"/>
      <c r="D25" s="105"/>
      <c r="E25" s="106" t="s">
        <v>1471</v>
      </c>
      <c r="F25" s="503" t="s">
        <v>1472</v>
      </c>
      <c r="G25" s="504"/>
      <c r="H25" s="106" t="s">
        <v>1473</v>
      </c>
      <c r="I25" s="106" t="s">
        <v>1474</v>
      </c>
      <c r="J25" s="107" t="s">
        <v>1475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83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0"/>
  <sheetViews>
    <sheetView zoomScale="80" zoomScaleNormal="80" workbookViewId="0">
      <pane ySplit="4" topLeftCell="A5" activePane="bottomLeft" state="frozen"/>
      <selection activeCell="B1" sqref="B1:J2"/>
      <selection pane="bottomLeft" activeCell="B1" sqref="B1:K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1476</v>
      </c>
      <c r="B1" s="1"/>
      <c r="C1" s="2" t="s">
        <v>1477</v>
      </c>
      <c r="D1" s="3">
        <v>169501</v>
      </c>
      <c r="E1" s="266" t="s">
        <v>1478</v>
      </c>
      <c r="F1" s="1">
        <v>5657228.6200000001</v>
      </c>
      <c r="G1" s="1" t="s">
        <v>1479</v>
      </c>
      <c r="H1" s="5">
        <f>L8+L12+L44+L53+L16+L60+L32+L39+L23+L69</f>
        <v>159.79166666666669</v>
      </c>
      <c r="I1" s="617" t="s">
        <v>1480</v>
      </c>
      <c r="J1" s="617"/>
      <c r="K1" s="617"/>
      <c r="L1" s="617" t="s">
        <v>1481</v>
      </c>
      <c r="M1" s="617"/>
      <c r="N1" s="617"/>
      <c r="O1" s="617" t="s">
        <v>1482</v>
      </c>
      <c r="P1" s="617"/>
      <c r="Q1" s="617"/>
      <c r="R1" s="617"/>
      <c r="S1" s="617" t="s">
        <v>1483</v>
      </c>
      <c r="T1" s="617"/>
      <c r="U1" s="617"/>
      <c r="V1" s="617"/>
      <c r="W1" s="617"/>
      <c r="X1" s="617"/>
      <c r="Y1" s="6" t="s">
        <v>1484</v>
      </c>
      <c r="Z1" s="7" t="s">
        <v>1485</v>
      </c>
      <c r="AA1" s="618" t="s">
        <v>1486</v>
      </c>
      <c r="AB1" s="618"/>
      <c r="AC1" s="8" t="s">
        <v>1484</v>
      </c>
      <c r="AD1" s="7" t="s">
        <v>1487</v>
      </c>
      <c r="AE1" s="617" t="s">
        <v>1488</v>
      </c>
      <c r="AF1" s="619"/>
      <c r="AG1" s="619"/>
    </row>
    <row r="2" spans="1:33" ht="26.25" customHeight="1">
      <c r="A2" s="37">
        <v>46156</v>
      </c>
      <c r="B2" s="38" t="s">
        <v>685</v>
      </c>
      <c r="C2" s="2" t="s">
        <v>1489</v>
      </c>
      <c r="D2" s="10">
        <v>143.40571794348426</v>
      </c>
      <c r="E2" s="11" t="s">
        <v>14</v>
      </c>
      <c r="F2" s="12">
        <v>33.375783151721819</v>
      </c>
      <c r="G2" s="1" t="s">
        <v>1490</v>
      </c>
      <c r="H2" s="274">
        <f>COUNT(H5:H69)</f>
        <v>10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SUM(Y8+Y12+Y16+Y23+Y32+Y39+Y44+Y53+Y60+Y69)</f>
        <v>0</v>
      </c>
      <c r="Z2" s="14">
        <f>SUM(Z8+Z12+Z16+Z23+Z32+Z39+Z44+Z53+Z60+Z69)</f>
        <v>0</v>
      </c>
      <c r="AA2" s="618"/>
      <c r="AB2" s="618"/>
      <c r="AC2" s="14">
        <f>SUM(AC8+AC12+AC16+AC23+AC32+AC39+AC44+AC53+AC60+AC69)</f>
        <v>55</v>
      </c>
      <c r="AD2" s="14">
        <f>SUM(AD8+AD12+AD16+AD23+AD32+AD39+AD44+AD53+AD60+AD69)</f>
        <v>0</v>
      </c>
      <c r="AE2" s="619"/>
      <c r="AF2" s="619"/>
      <c r="AG2" s="619"/>
    </row>
    <row r="3" spans="1:33" ht="40.5" customHeight="1">
      <c r="A3" s="575" t="s">
        <v>1491</v>
      </c>
      <c r="B3" s="575" t="s">
        <v>1492</v>
      </c>
      <c r="C3" s="575" t="s">
        <v>1493</v>
      </c>
      <c r="D3" s="575"/>
      <c r="E3" s="615" t="s">
        <v>1494</v>
      </c>
      <c r="F3" s="575" t="s">
        <v>1495</v>
      </c>
      <c r="G3" s="615" t="s">
        <v>1496</v>
      </c>
      <c r="H3" s="608" t="s">
        <v>1497</v>
      </c>
      <c r="I3" s="606" t="s">
        <v>1498</v>
      </c>
      <c r="J3" s="603" t="s">
        <v>1499</v>
      </c>
      <c r="K3" s="613" t="s">
        <v>1489</v>
      </c>
      <c r="L3" s="606" t="s">
        <v>1498</v>
      </c>
      <c r="M3" s="603" t="s">
        <v>1499</v>
      </c>
      <c r="N3" s="613" t="s">
        <v>1489</v>
      </c>
      <c r="O3" s="606" t="s">
        <v>1498</v>
      </c>
      <c r="P3" s="613" t="s">
        <v>1489</v>
      </c>
      <c r="Q3" s="604" t="s">
        <v>1500</v>
      </c>
      <c r="R3" s="582" t="s">
        <v>1501</v>
      </c>
      <c r="S3" s="614" t="s">
        <v>28</v>
      </c>
      <c r="T3" s="614"/>
      <c r="U3" s="608" t="s">
        <v>29</v>
      </c>
      <c r="V3" s="608" t="s">
        <v>1502</v>
      </c>
      <c r="W3" s="575" t="s">
        <v>1503</v>
      </c>
      <c r="X3" s="575"/>
      <c r="Y3" s="609" t="s">
        <v>1504</v>
      </c>
      <c r="Z3" s="572"/>
      <c r="AA3" s="610" t="s">
        <v>1505</v>
      </c>
      <c r="AB3" s="611"/>
      <c r="AC3" s="609" t="s">
        <v>1506</v>
      </c>
      <c r="AD3" s="572"/>
      <c r="AE3" s="603" t="s">
        <v>1499</v>
      </c>
      <c r="AF3" s="604" t="s">
        <v>1500</v>
      </c>
      <c r="AG3" s="582" t="s">
        <v>1501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273" t="s">
        <v>36</v>
      </c>
      <c r="T4" s="273" t="s">
        <v>37</v>
      </c>
      <c r="U4" s="608"/>
      <c r="V4" s="608"/>
      <c r="W4" s="266" t="s">
        <v>1507</v>
      </c>
      <c r="X4" s="266" t="s">
        <v>1508</v>
      </c>
      <c r="Y4" s="265" t="s">
        <v>1509</v>
      </c>
      <c r="Z4" s="265" t="s">
        <v>1510</v>
      </c>
      <c r="AA4" s="612"/>
      <c r="AB4" s="611"/>
      <c r="AC4" s="265" t="s">
        <v>1511</v>
      </c>
      <c r="AD4" s="265" t="s">
        <v>1512</v>
      </c>
      <c r="AE4" s="603"/>
      <c r="AF4" s="604"/>
      <c r="AG4" s="582"/>
    </row>
    <row r="5" spans="1:33">
      <c r="A5" s="605" t="s">
        <v>1513</v>
      </c>
      <c r="B5" s="39" t="s">
        <v>74</v>
      </c>
      <c r="C5" s="607" t="s">
        <v>75</v>
      </c>
      <c r="D5" s="607"/>
      <c r="E5" s="39">
        <v>50.67</v>
      </c>
      <c r="F5" s="273">
        <v>1220</v>
      </c>
      <c r="G5" s="266">
        <f t="shared" ref="G5:G7" si="0">E5*F5</f>
        <v>61817.4</v>
      </c>
      <c r="H5" s="48" t="s">
        <v>126</v>
      </c>
      <c r="I5" s="271">
        <v>17</v>
      </c>
      <c r="J5" s="43">
        <v>2000</v>
      </c>
      <c r="K5" s="18">
        <f t="shared" ref="K5:K68" si="1">J5/I5</f>
        <v>117.64705882352941</v>
      </c>
      <c r="L5" s="271">
        <v>17</v>
      </c>
      <c r="M5" s="19">
        <f t="shared" ref="M5:M7" si="2">F5/V5*60</f>
        <v>1926.3157894736828</v>
      </c>
      <c r="N5" s="18">
        <f t="shared" ref="N5:N68" si="3">M5/L5</f>
        <v>113.31269349845194</v>
      </c>
      <c r="O5" s="20">
        <f t="shared" ref="O5:O68" si="4">L5-I5</f>
        <v>0</v>
      </c>
      <c r="P5" s="21">
        <f t="shared" ref="P5:P68" si="5">N5-K5</f>
        <v>-4.3343653250774707</v>
      </c>
      <c r="Q5" s="267">
        <f t="shared" ref="Q5:Q68" si="6">N5/K5</f>
        <v>0.96315789473684155</v>
      </c>
      <c r="R5" s="573">
        <f>Q8</f>
        <v>0.96399707602339146</v>
      </c>
      <c r="S5" s="49">
        <v>0.70833333333333337</v>
      </c>
      <c r="T5" s="49">
        <v>0.73472222222222228</v>
      </c>
      <c r="U5" s="266"/>
      <c r="V5" s="272">
        <f t="shared" ref="V5:V7" si="7">(T5-S5)*24*60</f>
        <v>38.000000000000028</v>
      </c>
      <c r="W5" s="25"/>
      <c r="X5" s="26"/>
      <c r="Y5" s="26"/>
      <c r="Z5" s="26"/>
      <c r="AA5" s="575"/>
      <c r="AB5" s="575"/>
      <c r="AC5" s="27">
        <v>3</v>
      </c>
      <c r="AD5" s="27"/>
      <c r="AE5" s="20">
        <f t="shared" ref="AE5:AE52" si="8">M5-J5</f>
        <v>-73.684210526317202</v>
      </c>
      <c r="AF5" s="267">
        <f t="shared" ref="AF5:AF68" si="9">M5/J5</f>
        <v>0.96315789473684144</v>
      </c>
      <c r="AG5" s="573">
        <f>AF8</f>
        <v>0.96399707602339146</v>
      </c>
    </row>
    <row r="6" spans="1:33">
      <c r="A6" s="606" t="s">
        <v>1513</v>
      </c>
      <c r="B6" s="39" t="s">
        <v>74</v>
      </c>
      <c r="C6" s="607" t="s">
        <v>77</v>
      </c>
      <c r="D6" s="607"/>
      <c r="E6" s="39">
        <v>50.67</v>
      </c>
      <c r="F6" s="273">
        <v>1282</v>
      </c>
      <c r="G6" s="266">
        <f t="shared" si="0"/>
        <v>64958.94</v>
      </c>
      <c r="H6" s="48" t="s">
        <v>126</v>
      </c>
      <c r="I6" s="271">
        <v>15</v>
      </c>
      <c r="J6" s="43">
        <v>2000</v>
      </c>
      <c r="K6" s="18">
        <f t="shared" si="1"/>
        <v>133.33333333333334</v>
      </c>
      <c r="L6" s="271">
        <v>15</v>
      </c>
      <c r="M6" s="19">
        <f t="shared" si="2"/>
        <v>1922.9999999999993</v>
      </c>
      <c r="N6" s="18">
        <f t="shared" si="3"/>
        <v>128.19999999999996</v>
      </c>
      <c r="O6" s="20">
        <f t="shared" si="4"/>
        <v>0</v>
      </c>
      <c r="P6" s="21">
        <f t="shared" si="5"/>
        <v>-5.1333333333333826</v>
      </c>
      <c r="Q6" s="267">
        <f t="shared" si="6"/>
        <v>0.96149999999999969</v>
      </c>
      <c r="R6" s="573"/>
      <c r="S6" s="49">
        <v>0.73888888888888893</v>
      </c>
      <c r="T6" s="49">
        <v>0.76666666666666672</v>
      </c>
      <c r="U6" s="266">
        <f t="shared" ref="U6:U7" si="10">IF(S6=TIME(17,0,0),"",(S6-T5)*24*60)</f>
        <v>5.9999999999999787</v>
      </c>
      <c r="V6" s="272">
        <f t="shared" si="7"/>
        <v>40.000000000000014</v>
      </c>
      <c r="W6" s="25"/>
      <c r="X6" s="25"/>
      <c r="Y6" s="25"/>
      <c r="Z6" s="25"/>
      <c r="AA6" s="575"/>
      <c r="AB6" s="575"/>
      <c r="AC6" s="27"/>
      <c r="AD6" s="27"/>
      <c r="AE6" s="20">
        <f t="shared" si="8"/>
        <v>-77.000000000000682</v>
      </c>
      <c r="AF6" s="267">
        <f t="shared" si="9"/>
        <v>0.96149999999999969</v>
      </c>
      <c r="AG6" s="573"/>
    </row>
    <row r="7" spans="1:33">
      <c r="A7" s="606" t="s">
        <v>1513</v>
      </c>
      <c r="B7" s="39" t="s">
        <v>74</v>
      </c>
      <c r="C7" s="598" t="s">
        <v>78</v>
      </c>
      <c r="D7" s="599"/>
      <c r="E7" s="39">
        <v>52.86</v>
      </c>
      <c r="F7" s="273">
        <v>1451</v>
      </c>
      <c r="G7" s="266">
        <f t="shared" si="0"/>
        <v>76699.86</v>
      </c>
      <c r="H7" s="48" t="s">
        <v>126</v>
      </c>
      <c r="I7" s="271">
        <v>16</v>
      </c>
      <c r="J7" s="43">
        <v>2000</v>
      </c>
      <c r="K7" s="18">
        <f t="shared" si="1"/>
        <v>125</v>
      </c>
      <c r="L7" s="271">
        <v>16</v>
      </c>
      <c r="M7" s="19">
        <f t="shared" si="2"/>
        <v>1934.6666666666667</v>
      </c>
      <c r="N7" s="18">
        <f t="shared" si="3"/>
        <v>120.91666666666667</v>
      </c>
      <c r="O7" s="20">
        <f t="shared" si="4"/>
        <v>0</v>
      </c>
      <c r="P7" s="21">
        <f t="shared" si="5"/>
        <v>-4.0833333333333286</v>
      </c>
      <c r="Q7" s="267">
        <f t="shared" si="6"/>
        <v>0.96733333333333338</v>
      </c>
      <c r="R7" s="573"/>
      <c r="S7" s="49">
        <v>0.77222222222222225</v>
      </c>
      <c r="T7" s="49">
        <v>0.80347222222222225</v>
      </c>
      <c r="U7" s="266">
        <f t="shared" si="10"/>
        <v>7.9999999999999716</v>
      </c>
      <c r="V7" s="272">
        <f t="shared" si="7"/>
        <v>45</v>
      </c>
      <c r="W7" s="25"/>
      <c r="X7" s="25"/>
      <c r="Y7" s="28"/>
      <c r="Z7" s="28"/>
      <c r="AA7" s="568"/>
      <c r="AB7" s="569"/>
      <c r="AC7" s="29"/>
      <c r="AD7" s="29"/>
      <c r="AE7" s="20">
        <f t="shared" si="8"/>
        <v>-65.333333333333258</v>
      </c>
      <c r="AF7" s="267">
        <f t="shared" si="9"/>
        <v>0.96733333333333338</v>
      </c>
      <c r="AG7" s="573"/>
    </row>
    <row r="8" spans="1:33">
      <c r="A8" s="606" t="s">
        <v>1513</v>
      </c>
      <c r="B8" s="39" t="s">
        <v>1514</v>
      </c>
      <c r="C8" s="576"/>
      <c r="D8" s="576"/>
      <c r="E8" s="268"/>
      <c r="F8" s="42"/>
      <c r="G8" s="18"/>
      <c r="H8" s="273"/>
      <c r="I8" s="32">
        <v>16</v>
      </c>
      <c r="J8" s="43">
        <v>2000</v>
      </c>
      <c r="K8" s="18">
        <f t="shared" si="1"/>
        <v>125</v>
      </c>
      <c r="L8" s="32">
        <v>16</v>
      </c>
      <c r="M8" s="19">
        <f>AVERAGE(M5:M7)</f>
        <v>1927.994152046783</v>
      </c>
      <c r="N8" s="18">
        <f t="shared" si="3"/>
        <v>120.49963450292394</v>
      </c>
      <c r="O8" s="20">
        <f t="shared" si="4"/>
        <v>0</v>
      </c>
      <c r="P8" s="21">
        <f t="shared" si="5"/>
        <v>-4.5003654970760607</v>
      </c>
      <c r="Q8" s="267">
        <f t="shared" si="6"/>
        <v>0.96399707602339146</v>
      </c>
      <c r="R8" s="573"/>
      <c r="S8" s="49"/>
      <c r="T8" s="49"/>
      <c r="U8" s="266"/>
      <c r="V8" s="272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-72.005847953216971</v>
      </c>
      <c r="AF8" s="267">
        <f t="shared" si="9"/>
        <v>0.96399707602339146</v>
      </c>
      <c r="AG8" s="573"/>
    </row>
    <row r="9" spans="1:33" ht="15.75" customHeight="1">
      <c r="A9" s="602" t="s">
        <v>1515</v>
      </c>
      <c r="B9" s="39" t="s">
        <v>79</v>
      </c>
      <c r="C9" s="598" t="s">
        <v>80</v>
      </c>
      <c r="D9" s="599"/>
      <c r="E9" s="39">
        <v>39.619999999999997</v>
      </c>
      <c r="F9" s="273">
        <v>4521</v>
      </c>
      <c r="G9" s="266">
        <f t="shared" ref="G9:G11" si="11">E9*F9</f>
        <v>179122.02</v>
      </c>
      <c r="H9" s="48" t="s">
        <v>126</v>
      </c>
      <c r="I9" s="271">
        <v>19</v>
      </c>
      <c r="J9" s="43">
        <v>1500</v>
      </c>
      <c r="K9" s="18">
        <f t="shared" si="1"/>
        <v>78.94736842105263</v>
      </c>
      <c r="L9" s="271">
        <v>19</v>
      </c>
      <c r="M9" s="19">
        <f t="shared" ref="M9:M11" si="12">F9/V9*60</f>
        <v>1427.6842105263156</v>
      </c>
      <c r="N9" s="18">
        <f t="shared" si="3"/>
        <v>75.14127423822714</v>
      </c>
      <c r="O9" s="20">
        <f t="shared" si="4"/>
        <v>0</v>
      </c>
      <c r="P9" s="21">
        <f t="shared" si="5"/>
        <v>-3.8060941828254897</v>
      </c>
      <c r="Q9" s="267">
        <f t="shared" si="6"/>
        <v>0.95178947368421041</v>
      </c>
      <c r="R9" s="573">
        <f>Q12</f>
        <v>0.95461029226314764</v>
      </c>
      <c r="S9" s="49">
        <v>0.20833333333333334</v>
      </c>
      <c r="T9" s="49">
        <v>0.34027777777777779</v>
      </c>
      <c r="U9" s="266"/>
      <c r="V9" s="272">
        <f t="shared" ref="V9:V11" si="13">(T9-S9)*24*60</f>
        <v>190.00000000000003</v>
      </c>
      <c r="W9" s="25"/>
      <c r="X9" s="25"/>
      <c r="Y9" s="25"/>
      <c r="Z9" s="25"/>
      <c r="AA9" s="575"/>
      <c r="AB9" s="575"/>
      <c r="AC9" s="27">
        <v>3</v>
      </c>
      <c r="AD9" s="27"/>
      <c r="AE9" s="20">
        <f t="shared" si="8"/>
        <v>-72.31578947368439</v>
      </c>
      <c r="AF9" s="267">
        <f t="shared" si="9"/>
        <v>0.95178947368421041</v>
      </c>
      <c r="AG9" s="573">
        <f>AF12</f>
        <v>0.95461029226314753</v>
      </c>
    </row>
    <row r="10" spans="1:33" ht="15.75" customHeight="1">
      <c r="A10" s="602" t="s">
        <v>1515</v>
      </c>
      <c r="B10" s="39" t="s">
        <v>79</v>
      </c>
      <c r="C10" s="598" t="s">
        <v>81</v>
      </c>
      <c r="D10" s="599"/>
      <c r="E10" s="39">
        <v>39.799999999999997</v>
      </c>
      <c r="F10" s="273">
        <v>4500</v>
      </c>
      <c r="G10" s="266">
        <f t="shared" si="11"/>
        <v>179100</v>
      </c>
      <c r="H10" s="48">
        <v>2</v>
      </c>
      <c r="I10" s="271">
        <v>17</v>
      </c>
      <c r="J10" s="43">
        <v>1500</v>
      </c>
      <c r="K10" s="18">
        <f t="shared" si="1"/>
        <v>88.235294117647058</v>
      </c>
      <c r="L10" s="271">
        <v>17</v>
      </c>
      <c r="M10" s="19">
        <f t="shared" si="12"/>
        <v>1436.1702127659578</v>
      </c>
      <c r="N10" s="18">
        <f t="shared" si="3"/>
        <v>84.480600750938692</v>
      </c>
      <c r="O10" s="20">
        <f t="shared" si="4"/>
        <v>0</v>
      </c>
      <c r="P10" s="21">
        <f t="shared" si="5"/>
        <v>-3.7546933667083664</v>
      </c>
      <c r="Q10" s="267">
        <f t="shared" si="6"/>
        <v>0.95744680851063846</v>
      </c>
      <c r="R10" s="573"/>
      <c r="S10" s="49">
        <v>0.34444444444444444</v>
      </c>
      <c r="T10" s="49">
        <v>0.47499999999999998</v>
      </c>
      <c r="U10" s="266">
        <f t="shared" ref="U10:U11" si="14">IF(S10=TIME(17,0,0),"",(S10-T9)*24*60)</f>
        <v>5.9999999999999787</v>
      </c>
      <c r="V10" s="272">
        <f t="shared" si="13"/>
        <v>187.99999999999997</v>
      </c>
      <c r="W10" s="25">
        <f>T10</f>
        <v>0.47499999999999998</v>
      </c>
      <c r="X10" s="25">
        <f>S11</f>
        <v>0.51597222222222217</v>
      </c>
      <c r="Y10" s="25"/>
      <c r="Z10" s="25"/>
      <c r="AA10" s="575"/>
      <c r="AB10" s="575"/>
      <c r="AC10" s="27"/>
      <c r="AD10" s="27"/>
      <c r="AE10" s="20">
        <f t="shared" si="8"/>
        <v>-63.829787234042215</v>
      </c>
      <c r="AF10" s="267">
        <f t="shared" si="9"/>
        <v>0.95744680851063857</v>
      </c>
      <c r="AG10" s="573"/>
    </row>
    <row r="11" spans="1:33" ht="15.75" customHeight="1">
      <c r="A11" s="602" t="s">
        <v>1515</v>
      </c>
      <c r="B11" s="39" t="s">
        <v>79</v>
      </c>
      <c r="C11" s="598" t="s">
        <v>81</v>
      </c>
      <c r="D11" s="599"/>
      <c r="E11" s="39">
        <v>39.799999999999997</v>
      </c>
      <c r="F11" s="273">
        <v>1766</v>
      </c>
      <c r="G11" s="266">
        <f t="shared" si="11"/>
        <v>70286.799999999988</v>
      </c>
      <c r="H11" s="48" t="s">
        <v>126</v>
      </c>
      <c r="I11" s="271">
        <v>17</v>
      </c>
      <c r="J11" s="43">
        <v>1500</v>
      </c>
      <c r="K11" s="18">
        <f t="shared" si="1"/>
        <v>88.235294117647058</v>
      </c>
      <c r="L11" s="271">
        <v>17</v>
      </c>
      <c r="M11" s="19">
        <f t="shared" si="12"/>
        <v>1431.8918918918907</v>
      </c>
      <c r="N11" s="18">
        <f t="shared" si="3"/>
        <v>84.228934817170042</v>
      </c>
      <c r="O11" s="20">
        <f t="shared" si="4"/>
        <v>0</v>
      </c>
      <c r="P11" s="21">
        <f t="shared" si="5"/>
        <v>-4.0063593004770155</v>
      </c>
      <c r="Q11" s="267">
        <f t="shared" si="6"/>
        <v>0.95459459459459384</v>
      </c>
      <c r="R11" s="573"/>
      <c r="S11" s="49">
        <v>0.51597222222222217</v>
      </c>
      <c r="T11" s="49">
        <v>0.56736111111111109</v>
      </c>
      <c r="U11" s="266">
        <f t="shared" si="14"/>
        <v>58.99999999999995</v>
      </c>
      <c r="V11" s="272">
        <f t="shared" si="13"/>
        <v>74.000000000000057</v>
      </c>
      <c r="W11" s="25"/>
      <c r="X11" s="25"/>
      <c r="Y11" s="25"/>
      <c r="Z11" s="25"/>
      <c r="AA11" s="575"/>
      <c r="AB11" s="575"/>
      <c r="AC11" s="27"/>
      <c r="AD11" s="27"/>
      <c r="AE11" s="20">
        <f t="shared" si="8"/>
        <v>-68.108108108109263</v>
      </c>
      <c r="AF11" s="267">
        <f t="shared" si="9"/>
        <v>0.95459459459459384</v>
      </c>
      <c r="AG11" s="573"/>
    </row>
    <row r="12" spans="1:33" ht="16.5" customHeight="1">
      <c r="A12" s="602" t="s">
        <v>1515</v>
      </c>
      <c r="B12" s="39" t="s">
        <v>1514</v>
      </c>
      <c r="C12" s="576"/>
      <c r="D12" s="576"/>
      <c r="E12" s="268"/>
      <c r="F12" s="43"/>
      <c r="G12" s="19"/>
      <c r="H12" s="273"/>
      <c r="I12" s="32">
        <v>17.666666666666668</v>
      </c>
      <c r="J12" s="43">
        <v>1500</v>
      </c>
      <c r="K12" s="18">
        <f t="shared" si="1"/>
        <v>84.905660377358487</v>
      </c>
      <c r="L12" s="32">
        <v>17.666666666666668</v>
      </c>
      <c r="M12" s="19">
        <f>AVERAGE(M9:M11)</f>
        <v>1431.9154383947214</v>
      </c>
      <c r="N12" s="18">
        <f t="shared" si="3"/>
        <v>81.051817267625736</v>
      </c>
      <c r="O12" s="20">
        <f t="shared" si="4"/>
        <v>0</v>
      </c>
      <c r="P12" s="21">
        <f t="shared" si="5"/>
        <v>-3.8538431097327503</v>
      </c>
      <c r="Q12" s="267">
        <f t="shared" si="6"/>
        <v>0.95461029226314764</v>
      </c>
      <c r="R12" s="573"/>
      <c r="S12" s="49"/>
      <c r="T12" s="49"/>
      <c r="U12" s="18"/>
      <c r="V12" s="272"/>
      <c r="W12" s="18"/>
      <c r="X12" s="18"/>
      <c r="Y12" s="33">
        <f>SUM(Y9:Y11)</f>
        <v>0</v>
      </c>
      <c r="Z12" s="33">
        <f>SUM(Z9:Z11)</f>
        <v>0</v>
      </c>
      <c r="AA12" s="572"/>
      <c r="AB12" s="572"/>
      <c r="AC12" s="33">
        <v>3</v>
      </c>
      <c r="AD12" s="33">
        <f>SUM(AD9:AD11)</f>
        <v>0</v>
      </c>
      <c r="AE12" s="20">
        <f t="shared" si="8"/>
        <v>-68.084561605278623</v>
      </c>
      <c r="AF12" s="267">
        <f t="shared" si="9"/>
        <v>0.95461029226314753</v>
      </c>
      <c r="AG12" s="573"/>
    </row>
    <row r="13" spans="1:33" ht="16.5" customHeight="1">
      <c r="A13" s="600" t="s">
        <v>1516</v>
      </c>
      <c r="B13" s="273" t="s">
        <v>82</v>
      </c>
      <c r="C13" s="594" t="s">
        <v>83</v>
      </c>
      <c r="D13" s="594"/>
      <c r="E13" s="39">
        <v>41</v>
      </c>
      <c r="F13" s="273">
        <v>1854</v>
      </c>
      <c r="G13" s="266">
        <f t="shared" ref="G13:G15" si="15">E13*F13</f>
        <v>76014</v>
      </c>
      <c r="H13" s="48" t="s">
        <v>126</v>
      </c>
      <c r="I13" s="271">
        <v>26</v>
      </c>
      <c r="J13" s="43">
        <v>1500</v>
      </c>
      <c r="K13" s="18">
        <f t="shared" si="1"/>
        <v>57.692307692307693</v>
      </c>
      <c r="L13" s="271">
        <v>26</v>
      </c>
      <c r="M13" s="19">
        <f t="shared" ref="M13:M15" si="16">F13/V13*60</f>
        <v>1426.1538461538462</v>
      </c>
      <c r="N13" s="18">
        <f t="shared" si="3"/>
        <v>54.852071005917161</v>
      </c>
      <c r="O13" s="20">
        <f t="shared" si="4"/>
        <v>0</v>
      </c>
      <c r="P13" s="21">
        <f t="shared" si="5"/>
        <v>-2.8402366863905328</v>
      </c>
      <c r="Q13" s="267">
        <f t="shared" si="6"/>
        <v>0.95076923076923081</v>
      </c>
      <c r="R13" s="573">
        <f>Q16</f>
        <v>0.95407089462261896</v>
      </c>
      <c r="S13" s="49">
        <v>0.20833333333333334</v>
      </c>
      <c r="T13" s="49">
        <v>0.26250000000000001</v>
      </c>
      <c r="U13" s="266"/>
      <c r="V13" s="272">
        <f t="shared" ref="V13:V15" si="17">(T13-S13)*24*60</f>
        <v>78</v>
      </c>
      <c r="W13" s="30"/>
      <c r="X13" s="30"/>
      <c r="Y13" s="30"/>
      <c r="Z13" s="30"/>
      <c r="AA13" s="575"/>
      <c r="AB13" s="575"/>
      <c r="AC13" s="27">
        <v>3</v>
      </c>
      <c r="AD13" s="27"/>
      <c r="AE13" s="20">
        <f t="shared" si="8"/>
        <v>-73.846153846153811</v>
      </c>
      <c r="AF13" s="267">
        <f t="shared" si="9"/>
        <v>0.95076923076923081</v>
      </c>
      <c r="AG13" s="573">
        <f>AF16</f>
        <v>0.95407089462261907</v>
      </c>
    </row>
    <row r="14" spans="1:33" ht="16.5" customHeight="1">
      <c r="A14" s="601" t="s">
        <v>1516</v>
      </c>
      <c r="B14" s="273" t="s">
        <v>74</v>
      </c>
      <c r="C14" s="594" t="s">
        <v>85</v>
      </c>
      <c r="D14" s="594"/>
      <c r="E14" s="39">
        <v>53.68</v>
      </c>
      <c r="F14" s="273">
        <v>1052</v>
      </c>
      <c r="G14" s="266">
        <f t="shared" si="15"/>
        <v>56471.360000000001</v>
      </c>
      <c r="H14" s="48" t="s">
        <v>126</v>
      </c>
      <c r="I14" s="271">
        <v>16</v>
      </c>
      <c r="J14" s="43">
        <v>1500</v>
      </c>
      <c r="K14" s="18">
        <f t="shared" si="1"/>
        <v>93.75</v>
      </c>
      <c r="L14" s="271">
        <v>16</v>
      </c>
      <c r="M14" s="19">
        <f t="shared" si="16"/>
        <v>1434.5454545454545</v>
      </c>
      <c r="N14" s="18">
        <f t="shared" si="3"/>
        <v>89.659090909090907</v>
      </c>
      <c r="O14" s="20">
        <f t="shared" si="4"/>
        <v>0</v>
      </c>
      <c r="P14" s="21">
        <f t="shared" si="5"/>
        <v>-4.0909090909090935</v>
      </c>
      <c r="Q14" s="267">
        <f t="shared" si="6"/>
        <v>0.9563636363636363</v>
      </c>
      <c r="R14" s="573"/>
      <c r="S14" s="49">
        <v>0.70833333333333337</v>
      </c>
      <c r="T14" s="49">
        <v>0.73888888888888893</v>
      </c>
      <c r="U14" s="266" t="str">
        <f t="shared" ref="U14:U15" si="18">IF(S14=TIME(17,0,0),"",(S14-T13)*24*60)</f>
        <v/>
      </c>
      <c r="V14" s="272">
        <f t="shared" si="17"/>
        <v>44</v>
      </c>
      <c r="W14" s="25"/>
      <c r="X14" s="25"/>
      <c r="Y14" s="25"/>
      <c r="Z14" s="25"/>
      <c r="AA14" s="575"/>
      <c r="AB14" s="575"/>
      <c r="AC14" s="27"/>
      <c r="AD14" s="27"/>
      <c r="AE14" s="20">
        <f t="shared" si="8"/>
        <v>-65.454545454545496</v>
      </c>
      <c r="AF14" s="267">
        <f t="shared" si="9"/>
        <v>0.9563636363636363</v>
      </c>
      <c r="AG14" s="573"/>
    </row>
    <row r="15" spans="1:33" ht="16.5" customHeight="1">
      <c r="A15" s="601" t="s">
        <v>1516</v>
      </c>
      <c r="B15" s="273" t="s">
        <v>74</v>
      </c>
      <c r="C15" s="594" t="s">
        <v>86</v>
      </c>
      <c r="D15" s="594"/>
      <c r="E15" s="39">
        <v>50.92</v>
      </c>
      <c r="F15" s="273">
        <v>1846</v>
      </c>
      <c r="G15" s="266">
        <f t="shared" si="15"/>
        <v>93998.32</v>
      </c>
      <c r="H15" s="48" t="s">
        <v>126</v>
      </c>
      <c r="I15" s="271">
        <v>15</v>
      </c>
      <c r="J15" s="43">
        <v>2000</v>
      </c>
      <c r="K15" s="18">
        <f t="shared" si="1"/>
        <v>133.33333333333334</v>
      </c>
      <c r="L15" s="271">
        <v>15</v>
      </c>
      <c r="M15" s="19">
        <f t="shared" si="16"/>
        <v>1909.6551724137946</v>
      </c>
      <c r="N15" s="18">
        <f t="shared" si="3"/>
        <v>127.31034482758631</v>
      </c>
      <c r="O15" s="20">
        <f t="shared" si="4"/>
        <v>0</v>
      </c>
      <c r="P15" s="21">
        <f t="shared" si="5"/>
        <v>-6.0229885057470369</v>
      </c>
      <c r="Q15" s="267">
        <f t="shared" si="6"/>
        <v>0.95482758620689723</v>
      </c>
      <c r="R15" s="573"/>
      <c r="S15" s="49">
        <v>0.74236111111111114</v>
      </c>
      <c r="T15" s="49">
        <v>0.78263888888888888</v>
      </c>
      <c r="U15" s="266">
        <f t="shared" si="18"/>
        <v>4.9999999999999822</v>
      </c>
      <c r="V15" s="272">
        <f t="shared" si="17"/>
        <v>57.999999999999957</v>
      </c>
      <c r="W15" s="25"/>
      <c r="X15" s="25"/>
      <c r="Y15" s="25"/>
      <c r="Z15" s="25"/>
      <c r="AA15" s="575"/>
      <c r="AB15" s="575"/>
      <c r="AC15" s="27"/>
      <c r="AD15" s="27"/>
      <c r="AE15" s="20">
        <f t="shared" si="8"/>
        <v>-90.344827586205383</v>
      </c>
      <c r="AF15" s="267">
        <f t="shared" si="9"/>
        <v>0.95482758620689734</v>
      </c>
      <c r="AG15" s="573"/>
    </row>
    <row r="16" spans="1:33" ht="16.5" customHeight="1">
      <c r="A16" s="601" t="s">
        <v>1516</v>
      </c>
      <c r="B16" s="39" t="s">
        <v>1514</v>
      </c>
      <c r="C16" s="576"/>
      <c r="D16" s="576"/>
      <c r="E16" s="268"/>
      <c r="F16" s="42"/>
      <c r="G16" s="18"/>
      <c r="H16" s="273"/>
      <c r="I16" s="32">
        <v>19</v>
      </c>
      <c r="J16" s="43">
        <v>1666.6666666666667</v>
      </c>
      <c r="K16" s="18">
        <f t="shared" si="1"/>
        <v>87.719298245614041</v>
      </c>
      <c r="L16" s="32">
        <v>19</v>
      </c>
      <c r="M16" s="19">
        <f>AVERAGE(M13:M15)</f>
        <v>1590.1181577043651</v>
      </c>
      <c r="N16" s="18">
        <f t="shared" si="3"/>
        <v>83.690429352861315</v>
      </c>
      <c r="O16" s="20">
        <f t="shared" si="4"/>
        <v>0</v>
      </c>
      <c r="P16" s="21">
        <f t="shared" si="5"/>
        <v>-4.0288688927527261</v>
      </c>
      <c r="Q16" s="267">
        <f t="shared" si="6"/>
        <v>0.95407089462261896</v>
      </c>
      <c r="R16" s="573"/>
      <c r="S16" s="49"/>
      <c r="T16" s="49"/>
      <c r="U16" s="266"/>
      <c r="V16" s="272"/>
      <c r="W16" s="18"/>
      <c r="X16" s="18"/>
      <c r="Y16" s="33">
        <f>SUM(Y13:Y15)</f>
        <v>0</v>
      </c>
      <c r="Z16" s="33">
        <f>SUM(Z13:Z15)</f>
        <v>0</v>
      </c>
      <c r="AA16" s="572"/>
      <c r="AB16" s="572"/>
      <c r="AC16" s="33">
        <v>3</v>
      </c>
      <c r="AD16" s="33">
        <f>SUM(AD13:AD15)</f>
        <v>0</v>
      </c>
      <c r="AE16" s="20">
        <f t="shared" si="8"/>
        <v>-76.548508962301639</v>
      </c>
      <c r="AF16" s="267">
        <f t="shared" si="9"/>
        <v>0.95407089462261907</v>
      </c>
      <c r="AG16" s="573"/>
    </row>
    <row r="17" spans="1:33" ht="15.75" customHeight="1">
      <c r="A17" s="596" t="s">
        <v>1517</v>
      </c>
      <c r="B17" s="39" t="s">
        <v>74</v>
      </c>
      <c r="C17" s="594" t="s">
        <v>84</v>
      </c>
      <c r="D17" s="594"/>
      <c r="E17" s="39">
        <v>54.09</v>
      </c>
      <c r="F17" s="273">
        <v>2114</v>
      </c>
      <c r="G17" s="266">
        <f t="shared" ref="G17:G22" si="19">E17*F17</f>
        <v>114346.26000000001</v>
      </c>
      <c r="H17" s="48" t="s">
        <v>126</v>
      </c>
      <c r="I17" s="271">
        <v>17</v>
      </c>
      <c r="J17" s="43">
        <v>1500</v>
      </c>
      <c r="K17" s="18">
        <f t="shared" si="1"/>
        <v>88.235294117647058</v>
      </c>
      <c r="L17" s="271">
        <v>17</v>
      </c>
      <c r="M17" s="19">
        <f t="shared" ref="M17:M22" si="20">F17/V17*60</f>
        <v>1441.3636363636369</v>
      </c>
      <c r="N17" s="18">
        <f t="shared" si="3"/>
        <v>84.78609625668453</v>
      </c>
      <c r="O17" s="20">
        <f t="shared" si="4"/>
        <v>0</v>
      </c>
      <c r="P17" s="21">
        <f t="shared" si="5"/>
        <v>-3.4491978609625278</v>
      </c>
      <c r="Q17" s="267">
        <f t="shared" si="6"/>
        <v>0.96090909090909138</v>
      </c>
      <c r="R17" s="573">
        <f>Q23</f>
        <v>0.96168364203425805</v>
      </c>
      <c r="S17" s="49">
        <v>0.20833333333333334</v>
      </c>
      <c r="T17" s="49">
        <v>0.26944444444444443</v>
      </c>
      <c r="U17" s="266"/>
      <c r="V17" s="272">
        <f t="shared" ref="V17:V22" si="21">(T17-S17)*24*60</f>
        <v>87.999999999999972</v>
      </c>
      <c r="W17" s="30"/>
      <c r="X17" s="30"/>
      <c r="Y17" s="30"/>
      <c r="Z17" s="30"/>
      <c r="AA17" s="575"/>
      <c r="AB17" s="575"/>
      <c r="AC17" s="27">
        <v>6</v>
      </c>
      <c r="AD17" s="27"/>
      <c r="AE17" s="20">
        <f t="shared" si="8"/>
        <v>-58.636363636363058</v>
      </c>
      <c r="AF17" s="267">
        <f t="shared" si="9"/>
        <v>0.96090909090909127</v>
      </c>
      <c r="AG17" s="573">
        <f>AF23</f>
        <v>0.96168364203425816</v>
      </c>
    </row>
    <row r="18" spans="1:33" ht="15.75" customHeight="1">
      <c r="A18" s="597" t="s">
        <v>1517</v>
      </c>
      <c r="B18" s="39" t="s">
        <v>74</v>
      </c>
      <c r="C18" s="594" t="s">
        <v>89</v>
      </c>
      <c r="D18" s="594"/>
      <c r="E18" s="39">
        <v>50.67</v>
      </c>
      <c r="F18" s="273">
        <v>1927</v>
      </c>
      <c r="G18" s="266">
        <f t="shared" si="19"/>
        <v>97641.09</v>
      </c>
      <c r="H18" s="48" t="s">
        <v>126</v>
      </c>
      <c r="I18" s="271">
        <v>17</v>
      </c>
      <c r="J18" s="43">
        <v>2000</v>
      </c>
      <c r="K18" s="18">
        <f t="shared" si="1"/>
        <v>117.64705882352941</v>
      </c>
      <c r="L18" s="271">
        <v>17</v>
      </c>
      <c r="M18" s="19">
        <f t="shared" si="20"/>
        <v>1926.9999999999991</v>
      </c>
      <c r="N18" s="18">
        <f t="shared" si="3"/>
        <v>113.35294117647054</v>
      </c>
      <c r="O18" s="20">
        <f t="shared" si="4"/>
        <v>0</v>
      </c>
      <c r="P18" s="21">
        <f t="shared" si="5"/>
        <v>-4.2941176470588687</v>
      </c>
      <c r="Q18" s="267">
        <f t="shared" si="6"/>
        <v>0.96349999999999958</v>
      </c>
      <c r="R18" s="573"/>
      <c r="S18" s="49">
        <v>0.27291666666666664</v>
      </c>
      <c r="T18" s="49">
        <v>0.31458333333333333</v>
      </c>
      <c r="U18" s="266">
        <f t="shared" ref="U18:U22" si="22">IF(S18=TIME(17,0,0),"",(S18-T17)*24*60)</f>
        <v>4.9999999999999822</v>
      </c>
      <c r="V18" s="272">
        <f t="shared" si="21"/>
        <v>60.000000000000028</v>
      </c>
      <c r="W18" s="25"/>
      <c r="X18" s="266"/>
      <c r="Y18" s="266"/>
      <c r="Z18" s="266"/>
      <c r="AA18" s="575"/>
      <c r="AB18" s="575"/>
      <c r="AC18" s="27"/>
      <c r="AD18" s="27"/>
      <c r="AE18" s="20">
        <f t="shared" si="8"/>
        <v>-73.000000000000909</v>
      </c>
      <c r="AF18" s="267">
        <f t="shared" si="9"/>
        <v>0.96349999999999958</v>
      </c>
      <c r="AG18" s="573"/>
    </row>
    <row r="19" spans="1:33" ht="15.75" customHeight="1">
      <c r="A19" s="597" t="s">
        <v>1517</v>
      </c>
      <c r="B19" s="39" t="s">
        <v>74</v>
      </c>
      <c r="C19" s="594" t="s">
        <v>90</v>
      </c>
      <c r="D19" s="594"/>
      <c r="E19" s="39">
        <v>57.73</v>
      </c>
      <c r="F19" s="273">
        <v>2089</v>
      </c>
      <c r="G19" s="266">
        <f t="shared" si="19"/>
        <v>120597.96999999999</v>
      </c>
      <c r="H19" s="48" t="s">
        <v>126</v>
      </c>
      <c r="I19" s="271">
        <v>14</v>
      </c>
      <c r="J19" s="43">
        <v>2000</v>
      </c>
      <c r="K19" s="18">
        <f t="shared" si="1"/>
        <v>142.85714285714286</v>
      </c>
      <c r="L19" s="271">
        <v>14</v>
      </c>
      <c r="M19" s="19">
        <f t="shared" si="20"/>
        <v>1928.3076923076922</v>
      </c>
      <c r="N19" s="18">
        <f t="shared" si="3"/>
        <v>137.73626373626374</v>
      </c>
      <c r="O19" s="20">
        <f t="shared" si="4"/>
        <v>0</v>
      </c>
      <c r="P19" s="21">
        <f t="shared" si="5"/>
        <v>-5.120879120879124</v>
      </c>
      <c r="Q19" s="267">
        <f t="shared" si="6"/>
        <v>0.96415384615384614</v>
      </c>
      <c r="R19" s="573"/>
      <c r="S19" s="49">
        <v>0.32013888888888886</v>
      </c>
      <c r="T19" s="49">
        <v>0.36527777777777776</v>
      </c>
      <c r="U19" s="266">
        <f t="shared" si="22"/>
        <v>7.9999999999999716</v>
      </c>
      <c r="V19" s="272">
        <f t="shared" si="21"/>
        <v>65.000000000000014</v>
      </c>
      <c r="W19" s="25"/>
      <c r="X19" s="266"/>
      <c r="Y19" s="266"/>
      <c r="Z19" s="266"/>
      <c r="AA19" s="575"/>
      <c r="AB19" s="575"/>
      <c r="AC19" s="27"/>
      <c r="AD19" s="27"/>
      <c r="AE19" s="20">
        <f t="shared" si="8"/>
        <v>-71.69230769230785</v>
      </c>
      <c r="AF19" s="267">
        <f t="shared" si="9"/>
        <v>0.96415384615384603</v>
      </c>
      <c r="AG19" s="573"/>
    </row>
    <row r="20" spans="1:33" ht="15.75" customHeight="1">
      <c r="A20" s="597" t="s">
        <v>1517</v>
      </c>
      <c r="B20" s="39" t="s">
        <v>74</v>
      </c>
      <c r="C20" s="594" t="s">
        <v>1232</v>
      </c>
      <c r="D20" s="594"/>
      <c r="E20" s="39">
        <v>53.27</v>
      </c>
      <c r="F20" s="273">
        <v>2923</v>
      </c>
      <c r="G20" s="266">
        <f t="shared" si="19"/>
        <v>155708.21000000002</v>
      </c>
      <c r="H20" s="48" t="s">
        <v>126</v>
      </c>
      <c r="I20" s="271">
        <v>16</v>
      </c>
      <c r="J20" s="43">
        <v>2000</v>
      </c>
      <c r="K20" s="18">
        <f t="shared" si="1"/>
        <v>125</v>
      </c>
      <c r="L20" s="271">
        <v>16</v>
      </c>
      <c r="M20" s="19">
        <f t="shared" si="20"/>
        <v>1906.304347826087</v>
      </c>
      <c r="N20" s="18">
        <f t="shared" si="3"/>
        <v>119.14402173913044</v>
      </c>
      <c r="O20" s="20">
        <f t="shared" si="4"/>
        <v>0</v>
      </c>
      <c r="P20" s="21">
        <f t="shared" si="5"/>
        <v>-5.8559782608695627</v>
      </c>
      <c r="Q20" s="267">
        <f t="shared" si="6"/>
        <v>0.95315217391304352</v>
      </c>
      <c r="R20" s="573"/>
      <c r="S20" s="49">
        <v>0.36944444444444441</v>
      </c>
      <c r="T20" s="49">
        <v>0.43333333333333329</v>
      </c>
      <c r="U20" s="266">
        <f t="shared" si="22"/>
        <v>5.9999999999999787</v>
      </c>
      <c r="V20" s="272">
        <f t="shared" si="21"/>
        <v>92</v>
      </c>
      <c r="W20" s="25"/>
      <c r="X20" s="266"/>
      <c r="Y20" s="266"/>
      <c r="Z20" s="266"/>
      <c r="AA20" s="575"/>
      <c r="AB20" s="575"/>
      <c r="AC20" s="27"/>
      <c r="AD20" s="27"/>
      <c r="AE20" s="20">
        <f t="shared" si="8"/>
        <v>-93.695652173913004</v>
      </c>
      <c r="AF20" s="267">
        <f t="shared" si="9"/>
        <v>0.95315217391304352</v>
      </c>
      <c r="AG20" s="573"/>
    </row>
    <row r="21" spans="1:33" ht="15.75" customHeight="1">
      <c r="A21" s="597" t="s">
        <v>1517</v>
      </c>
      <c r="B21" s="39" t="s">
        <v>74</v>
      </c>
      <c r="C21" s="594" t="s">
        <v>92</v>
      </c>
      <c r="D21" s="594"/>
      <c r="E21" s="39">
        <v>50.49</v>
      </c>
      <c r="F21" s="273">
        <v>1599</v>
      </c>
      <c r="G21" s="266">
        <f t="shared" si="19"/>
        <v>80733.510000000009</v>
      </c>
      <c r="H21" s="48" t="s">
        <v>126</v>
      </c>
      <c r="I21" s="271">
        <v>15</v>
      </c>
      <c r="J21" s="43">
        <v>2000</v>
      </c>
      <c r="K21" s="18">
        <f t="shared" si="1"/>
        <v>133.33333333333334</v>
      </c>
      <c r="L21" s="271">
        <v>15</v>
      </c>
      <c r="M21" s="19">
        <f t="shared" si="20"/>
        <v>1918.8000000000004</v>
      </c>
      <c r="N21" s="18">
        <f t="shared" si="3"/>
        <v>127.92000000000003</v>
      </c>
      <c r="O21" s="20">
        <f t="shared" si="4"/>
        <v>0</v>
      </c>
      <c r="P21" s="21">
        <f t="shared" si="5"/>
        <v>-5.4133333333333127</v>
      </c>
      <c r="Q21" s="267">
        <f t="shared" si="6"/>
        <v>0.95940000000000014</v>
      </c>
      <c r="R21" s="573"/>
      <c r="S21" s="49">
        <v>0.70833333333333337</v>
      </c>
      <c r="T21" s="49">
        <v>0.74305555555555558</v>
      </c>
      <c r="U21" s="266" t="str">
        <f t="shared" si="22"/>
        <v/>
      </c>
      <c r="V21" s="272">
        <f t="shared" si="21"/>
        <v>49.999999999999986</v>
      </c>
      <c r="W21" s="25"/>
      <c r="X21" s="25"/>
      <c r="Y21" s="266"/>
      <c r="Z21" s="266"/>
      <c r="AA21" s="575"/>
      <c r="AB21" s="575"/>
      <c r="AC21" s="27"/>
      <c r="AD21" s="27"/>
      <c r="AE21" s="20">
        <f t="shared" si="8"/>
        <v>-81.199999999999591</v>
      </c>
      <c r="AF21" s="267">
        <f t="shared" si="9"/>
        <v>0.95940000000000025</v>
      </c>
      <c r="AG21" s="573"/>
    </row>
    <row r="22" spans="1:33" ht="15.75" customHeight="1">
      <c r="A22" s="597" t="s">
        <v>1517</v>
      </c>
      <c r="B22" s="39" t="s">
        <v>74</v>
      </c>
      <c r="C22" s="594" t="s">
        <v>93</v>
      </c>
      <c r="D22" s="594"/>
      <c r="E22" s="39">
        <v>50.98</v>
      </c>
      <c r="F22" s="273">
        <v>1873</v>
      </c>
      <c r="G22" s="266">
        <f t="shared" si="19"/>
        <v>95485.54</v>
      </c>
      <c r="H22" s="48" t="s">
        <v>126</v>
      </c>
      <c r="I22" s="271">
        <v>16</v>
      </c>
      <c r="J22" s="43">
        <v>2000</v>
      </c>
      <c r="K22" s="18">
        <f t="shared" si="1"/>
        <v>125</v>
      </c>
      <c r="L22" s="271">
        <v>16</v>
      </c>
      <c r="M22" s="19">
        <f t="shared" si="20"/>
        <v>1937.5862068965532</v>
      </c>
      <c r="N22" s="18">
        <f t="shared" si="3"/>
        <v>121.09913793103458</v>
      </c>
      <c r="O22" s="20">
        <f t="shared" si="4"/>
        <v>0</v>
      </c>
      <c r="P22" s="21">
        <f t="shared" si="5"/>
        <v>-3.9008620689654236</v>
      </c>
      <c r="Q22" s="267">
        <f t="shared" si="6"/>
        <v>0.96879310344827663</v>
      </c>
      <c r="R22" s="573"/>
      <c r="S22" s="49">
        <v>0.74652777777777779</v>
      </c>
      <c r="T22" s="49">
        <v>0.78680555555555554</v>
      </c>
      <c r="U22" s="266">
        <f t="shared" si="22"/>
        <v>4.9999999999999822</v>
      </c>
      <c r="V22" s="272">
        <f t="shared" si="21"/>
        <v>57.999999999999957</v>
      </c>
      <c r="W22" s="25"/>
      <c r="X22" s="30"/>
      <c r="Y22" s="30"/>
      <c r="Z22" s="30"/>
      <c r="AA22" s="575"/>
      <c r="AB22" s="575"/>
      <c r="AC22" s="27"/>
      <c r="AD22" s="27"/>
      <c r="AE22" s="20">
        <f t="shared" si="8"/>
        <v>-62.413793103446778</v>
      </c>
      <c r="AF22" s="267">
        <f t="shared" si="9"/>
        <v>0.96879310344827663</v>
      </c>
      <c r="AG22" s="573"/>
    </row>
    <row r="23" spans="1:33" ht="15.75" customHeight="1">
      <c r="A23" s="597" t="s">
        <v>1517</v>
      </c>
      <c r="B23" s="39" t="s">
        <v>1514</v>
      </c>
      <c r="C23" s="576"/>
      <c r="D23" s="576"/>
      <c r="E23" s="268"/>
      <c r="F23" s="273"/>
      <c r="G23" s="266"/>
      <c r="H23" s="273"/>
      <c r="I23" s="32">
        <v>15.833333333333334</v>
      </c>
      <c r="J23" s="43">
        <v>1916.6666666666667</v>
      </c>
      <c r="K23" s="18">
        <f t="shared" si="1"/>
        <v>121.05263157894737</v>
      </c>
      <c r="L23" s="32">
        <v>15.833333333333334</v>
      </c>
      <c r="M23" s="19">
        <f>AVERAGE(M17:M22)</f>
        <v>1843.2269805656615</v>
      </c>
      <c r="N23" s="18">
        <f t="shared" si="3"/>
        <v>116.41433561467335</v>
      </c>
      <c r="O23" s="20">
        <f t="shared" si="4"/>
        <v>0</v>
      </c>
      <c r="P23" s="21">
        <f t="shared" si="5"/>
        <v>-4.6382959642740218</v>
      </c>
      <c r="Q23" s="267">
        <f t="shared" si="6"/>
        <v>0.96168364203425805</v>
      </c>
      <c r="R23" s="573"/>
      <c r="S23" s="49"/>
      <c r="T23" s="49"/>
      <c r="U23" s="18"/>
      <c r="V23" s="272"/>
      <c r="W23" s="18"/>
      <c r="X23" s="18"/>
      <c r="Y23" s="33">
        <f>SUM(Y17:Y22)</f>
        <v>0</v>
      </c>
      <c r="Z23" s="33">
        <f>SUM(Z17:Z22)</f>
        <v>0</v>
      </c>
      <c r="AA23" s="572"/>
      <c r="AB23" s="572"/>
      <c r="AC23" s="33">
        <v>6</v>
      </c>
      <c r="AD23" s="33">
        <f>SUM(AD17:AD22)</f>
        <v>0</v>
      </c>
      <c r="AE23" s="20">
        <f t="shared" si="8"/>
        <v>-73.439686101005236</v>
      </c>
      <c r="AF23" s="267">
        <f t="shared" si="9"/>
        <v>0.96168364203425816</v>
      </c>
      <c r="AG23" s="573"/>
    </row>
    <row r="24" spans="1:33" ht="15.75" customHeight="1">
      <c r="A24" s="595" t="s">
        <v>1518</v>
      </c>
      <c r="B24" s="39" t="s">
        <v>94</v>
      </c>
      <c r="C24" s="594" t="s">
        <v>95</v>
      </c>
      <c r="D24" s="594"/>
      <c r="E24" s="39">
        <v>31.29</v>
      </c>
      <c r="F24" s="273">
        <v>5600</v>
      </c>
      <c r="G24" s="266">
        <f t="shared" ref="G24:G31" si="23">E24*F24</f>
        <v>175224</v>
      </c>
      <c r="H24" s="48">
        <v>2</v>
      </c>
      <c r="I24" s="271">
        <v>18</v>
      </c>
      <c r="J24" s="43">
        <v>2400</v>
      </c>
      <c r="K24" s="18">
        <f t="shared" si="1"/>
        <v>133.33333333333334</v>
      </c>
      <c r="L24" s="271">
        <v>18</v>
      </c>
      <c r="M24" s="19">
        <f t="shared" ref="M24:M31" si="24">F24/V24*60</f>
        <v>2285.7142857142858</v>
      </c>
      <c r="N24" s="18">
        <f t="shared" si="3"/>
        <v>126.98412698412699</v>
      </c>
      <c r="O24" s="20">
        <f t="shared" si="4"/>
        <v>0</v>
      </c>
      <c r="P24" s="21">
        <f t="shared" si="5"/>
        <v>-6.3492063492063551</v>
      </c>
      <c r="Q24" s="267">
        <f t="shared" si="6"/>
        <v>0.95238095238095233</v>
      </c>
      <c r="R24" s="573">
        <f>Q32</f>
        <v>0.95468039845128494</v>
      </c>
      <c r="S24" s="49">
        <v>8.3333333333333329E-2</v>
      </c>
      <c r="T24" s="49">
        <v>0.18541666666666667</v>
      </c>
      <c r="U24" s="266"/>
      <c r="V24" s="272">
        <f t="shared" ref="V24:V31" si="25">(T24-S24)*24*60</f>
        <v>147</v>
      </c>
      <c r="W24" s="25">
        <f>T24</f>
        <v>0.18541666666666667</v>
      </c>
      <c r="X24" s="25">
        <f>S25</f>
        <v>0.20416666666666669</v>
      </c>
      <c r="Y24" s="25"/>
      <c r="Z24" s="25"/>
      <c r="AA24" s="575"/>
      <c r="AB24" s="575"/>
      <c r="AC24" s="27">
        <v>8</v>
      </c>
      <c r="AD24" s="27"/>
      <c r="AE24" s="20">
        <f t="shared" si="8"/>
        <v>-114.28571428571422</v>
      </c>
      <c r="AF24" s="267">
        <f t="shared" si="9"/>
        <v>0.95238095238095244</v>
      </c>
      <c r="AG24" s="573">
        <f>AF32</f>
        <v>0.95468039845128483</v>
      </c>
    </row>
    <row r="25" spans="1:33" ht="15.75" customHeight="1">
      <c r="A25" s="595" t="s">
        <v>1518</v>
      </c>
      <c r="B25" s="39" t="s">
        <v>94</v>
      </c>
      <c r="C25" s="594" t="s">
        <v>97</v>
      </c>
      <c r="D25" s="594"/>
      <c r="E25" s="39">
        <v>26.37</v>
      </c>
      <c r="F25" s="273">
        <v>4600</v>
      </c>
      <c r="G25" s="266">
        <f t="shared" si="23"/>
        <v>121302</v>
      </c>
      <c r="H25" s="48">
        <v>2</v>
      </c>
      <c r="I25" s="271">
        <v>18</v>
      </c>
      <c r="J25" s="43">
        <v>2400</v>
      </c>
      <c r="K25" s="18">
        <f t="shared" si="1"/>
        <v>133.33333333333334</v>
      </c>
      <c r="L25" s="271">
        <v>18</v>
      </c>
      <c r="M25" s="19">
        <f t="shared" si="24"/>
        <v>2300</v>
      </c>
      <c r="N25" s="18">
        <f t="shared" si="3"/>
        <v>127.77777777777777</v>
      </c>
      <c r="O25" s="20">
        <f t="shared" si="4"/>
        <v>0</v>
      </c>
      <c r="P25" s="21">
        <f t="shared" si="5"/>
        <v>-5.5555555555555713</v>
      </c>
      <c r="Q25" s="267">
        <f t="shared" si="6"/>
        <v>0.95833333333333326</v>
      </c>
      <c r="R25" s="573"/>
      <c r="S25" s="49">
        <v>0.20416666666666669</v>
      </c>
      <c r="T25" s="49">
        <v>0.28750000000000003</v>
      </c>
      <c r="U25" s="266">
        <f t="shared" ref="U25:U31" si="26">(S25-T24)*24*60</f>
        <v>27.000000000000025</v>
      </c>
      <c r="V25" s="272">
        <f t="shared" si="25"/>
        <v>120</v>
      </c>
      <c r="W25" s="25"/>
      <c r="X25" s="25"/>
      <c r="Y25" s="25"/>
      <c r="Z25" s="25"/>
      <c r="AA25" s="575"/>
      <c r="AB25" s="575"/>
      <c r="AC25" s="27"/>
      <c r="AD25" s="27"/>
      <c r="AE25" s="20">
        <f t="shared" si="8"/>
        <v>-100</v>
      </c>
      <c r="AF25" s="267">
        <f t="shared" si="9"/>
        <v>0.95833333333333337</v>
      </c>
      <c r="AG25" s="573"/>
    </row>
    <row r="26" spans="1:33" ht="15.75" customHeight="1">
      <c r="A26" s="595" t="s">
        <v>1518</v>
      </c>
      <c r="B26" s="39" t="s">
        <v>94</v>
      </c>
      <c r="C26" s="594" t="s">
        <v>529</v>
      </c>
      <c r="D26" s="594"/>
      <c r="E26" s="39">
        <v>26.18</v>
      </c>
      <c r="F26" s="273">
        <v>4200</v>
      </c>
      <c r="G26" s="266">
        <f t="shared" si="23"/>
        <v>109956</v>
      </c>
      <c r="H26" s="48">
        <v>2</v>
      </c>
      <c r="I26" s="271">
        <v>19</v>
      </c>
      <c r="J26" s="43">
        <v>2400</v>
      </c>
      <c r="K26" s="18">
        <f t="shared" si="1"/>
        <v>126.31578947368421</v>
      </c>
      <c r="L26" s="271">
        <v>19</v>
      </c>
      <c r="M26" s="19">
        <f t="shared" si="24"/>
        <v>2290.909090909091</v>
      </c>
      <c r="N26" s="18">
        <f t="shared" si="3"/>
        <v>120.57416267942584</v>
      </c>
      <c r="O26" s="20">
        <f t="shared" si="4"/>
        <v>0</v>
      </c>
      <c r="P26" s="21">
        <f t="shared" si="5"/>
        <v>-5.7416267942583659</v>
      </c>
      <c r="Q26" s="267">
        <f t="shared" si="6"/>
        <v>0.95454545454545459</v>
      </c>
      <c r="R26" s="573"/>
      <c r="S26" s="49">
        <v>0.29097222222222224</v>
      </c>
      <c r="T26" s="49">
        <v>0.36736111111111114</v>
      </c>
      <c r="U26" s="266">
        <f t="shared" si="26"/>
        <v>4.9999999999999822</v>
      </c>
      <c r="V26" s="272">
        <f t="shared" si="25"/>
        <v>110.00000000000001</v>
      </c>
      <c r="W26" s="25"/>
      <c r="X26" s="25"/>
      <c r="Y26" s="25"/>
      <c r="Z26" s="25"/>
      <c r="AA26" s="575"/>
      <c r="AB26" s="575"/>
      <c r="AC26" s="27"/>
      <c r="AD26" s="27"/>
      <c r="AE26" s="20">
        <f t="shared" si="8"/>
        <v>-109.09090909090901</v>
      </c>
      <c r="AF26" s="267">
        <f t="shared" si="9"/>
        <v>0.95454545454545459</v>
      </c>
      <c r="AG26" s="573"/>
    </row>
    <row r="27" spans="1:33" ht="15.75" customHeight="1">
      <c r="A27" s="595" t="s">
        <v>1518</v>
      </c>
      <c r="B27" s="39" t="s">
        <v>94</v>
      </c>
      <c r="C27" s="594" t="s">
        <v>103</v>
      </c>
      <c r="D27" s="594"/>
      <c r="E27" s="39">
        <v>20.2</v>
      </c>
      <c r="F27" s="273">
        <v>2262</v>
      </c>
      <c r="G27" s="266">
        <f t="shared" si="23"/>
        <v>45692.4</v>
      </c>
      <c r="H27" s="48" t="s">
        <v>126</v>
      </c>
      <c r="I27" s="271">
        <v>15</v>
      </c>
      <c r="J27" s="43">
        <v>2400</v>
      </c>
      <c r="K27" s="18">
        <f t="shared" si="1"/>
        <v>160</v>
      </c>
      <c r="L27" s="271">
        <v>15</v>
      </c>
      <c r="M27" s="19">
        <f t="shared" si="24"/>
        <v>2300.3389830508463</v>
      </c>
      <c r="N27" s="18">
        <f t="shared" si="3"/>
        <v>153.35593220338976</v>
      </c>
      <c r="O27" s="20">
        <f t="shared" si="4"/>
        <v>0</v>
      </c>
      <c r="P27" s="21">
        <f t="shared" si="5"/>
        <v>-6.6440677966102442</v>
      </c>
      <c r="Q27" s="267">
        <f t="shared" si="6"/>
        <v>0.95847457627118593</v>
      </c>
      <c r="R27" s="573"/>
      <c r="S27" s="49">
        <v>0.37152777777777779</v>
      </c>
      <c r="T27" s="49">
        <v>0.41250000000000003</v>
      </c>
      <c r="U27" s="266">
        <f t="shared" si="26"/>
        <v>5.9999999999999787</v>
      </c>
      <c r="V27" s="272">
        <f t="shared" si="25"/>
        <v>59.000000000000028</v>
      </c>
      <c r="W27" s="25"/>
      <c r="X27" s="25"/>
      <c r="Y27" s="25"/>
      <c r="Z27" s="25"/>
      <c r="AA27" s="575"/>
      <c r="AB27" s="575"/>
      <c r="AC27" s="27"/>
      <c r="AD27" s="27"/>
      <c r="AE27" s="20">
        <f t="shared" si="8"/>
        <v>-99.661016949153691</v>
      </c>
      <c r="AF27" s="267">
        <f t="shared" si="9"/>
        <v>0.95847457627118593</v>
      </c>
      <c r="AG27" s="573"/>
    </row>
    <row r="28" spans="1:33" ht="15.75" customHeight="1">
      <c r="A28" s="595" t="s">
        <v>1518</v>
      </c>
      <c r="B28" s="39" t="s">
        <v>94</v>
      </c>
      <c r="C28" s="594" t="s">
        <v>98</v>
      </c>
      <c r="D28" s="594"/>
      <c r="E28" s="39">
        <v>25.99</v>
      </c>
      <c r="F28" s="273">
        <v>4391</v>
      </c>
      <c r="G28" s="266">
        <f t="shared" si="23"/>
        <v>114122.09</v>
      </c>
      <c r="H28" s="48" t="s">
        <v>126</v>
      </c>
      <c r="I28" s="271">
        <v>14</v>
      </c>
      <c r="J28" s="43">
        <v>2400</v>
      </c>
      <c r="K28" s="18">
        <f t="shared" si="1"/>
        <v>171.42857142857142</v>
      </c>
      <c r="L28" s="271">
        <v>14</v>
      </c>
      <c r="M28" s="19">
        <f t="shared" si="24"/>
        <v>2290.9565217391305</v>
      </c>
      <c r="N28" s="18">
        <f t="shared" si="3"/>
        <v>163.63975155279505</v>
      </c>
      <c r="O28" s="20">
        <f t="shared" si="4"/>
        <v>0</v>
      </c>
      <c r="P28" s="21">
        <f t="shared" si="5"/>
        <v>-7.7888198757763689</v>
      </c>
      <c r="Q28" s="267">
        <f t="shared" si="6"/>
        <v>0.95456521739130451</v>
      </c>
      <c r="R28" s="573"/>
      <c r="S28" s="49">
        <v>0.41597222222222224</v>
      </c>
      <c r="T28" s="49">
        <v>0.49583333333333335</v>
      </c>
      <c r="U28" s="266">
        <f t="shared" si="26"/>
        <v>4.9999999999999822</v>
      </c>
      <c r="V28" s="272">
        <f t="shared" si="25"/>
        <v>114.99999999999999</v>
      </c>
      <c r="W28" s="25">
        <f>T28</f>
        <v>0.49583333333333335</v>
      </c>
      <c r="X28" s="25">
        <f>S29</f>
        <v>0.53541666666666665</v>
      </c>
      <c r="Y28" s="25"/>
      <c r="Z28" s="25"/>
      <c r="AA28" s="575"/>
      <c r="AB28" s="575"/>
      <c r="AC28" s="27"/>
      <c r="AD28" s="27"/>
      <c r="AE28" s="20">
        <f t="shared" si="8"/>
        <v>-109.04347826086951</v>
      </c>
      <c r="AF28" s="267">
        <f t="shared" si="9"/>
        <v>0.9545652173913044</v>
      </c>
      <c r="AG28" s="573"/>
    </row>
    <row r="29" spans="1:33" ht="15.75" customHeight="1">
      <c r="A29" s="595" t="s">
        <v>1518</v>
      </c>
      <c r="B29" s="39" t="s">
        <v>94</v>
      </c>
      <c r="C29" s="594" t="s">
        <v>95</v>
      </c>
      <c r="D29" s="594"/>
      <c r="E29" s="39">
        <v>31.29</v>
      </c>
      <c r="F29" s="273">
        <v>3396</v>
      </c>
      <c r="G29" s="266">
        <f t="shared" si="23"/>
        <v>106260.84</v>
      </c>
      <c r="H29" s="48" t="s">
        <v>126</v>
      </c>
      <c r="I29" s="271">
        <v>18</v>
      </c>
      <c r="J29" s="43">
        <v>2400</v>
      </c>
      <c r="K29" s="18">
        <f t="shared" si="1"/>
        <v>133.33333333333334</v>
      </c>
      <c r="L29" s="271">
        <v>18</v>
      </c>
      <c r="M29" s="19">
        <f t="shared" si="24"/>
        <v>2289.4382022471909</v>
      </c>
      <c r="N29" s="18">
        <f t="shared" si="3"/>
        <v>127.19101123595505</v>
      </c>
      <c r="O29" s="20">
        <f t="shared" si="4"/>
        <v>0</v>
      </c>
      <c r="P29" s="21">
        <f t="shared" si="5"/>
        <v>-6.1423220973782975</v>
      </c>
      <c r="Q29" s="267">
        <f t="shared" si="6"/>
        <v>0.95393258426966276</v>
      </c>
      <c r="R29" s="573"/>
      <c r="S29" s="49">
        <v>0.53541666666666665</v>
      </c>
      <c r="T29" s="49">
        <v>0.59722222222222221</v>
      </c>
      <c r="U29" s="266">
        <f t="shared" si="26"/>
        <v>56.999999999999957</v>
      </c>
      <c r="V29" s="272">
        <f t="shared" si="25"/>
        <v>89</v>
      </c>
      <c r="W29" s="25"/>
      <c r="X29" s="25"/>
      <c r="Y29" s="25"/>
      <c r="Z29" s="25"/>
      <c r="AA29" s="575"/>
      <c r="AB29" s="575"/>
      <c r="AC29" s="27"/>
      <c r="AD29" s="27"/>
      <c r="AE29" s="20">
        <f t="shared" si="8"/>
        <v>-110.56179775280907</v>
      </c>
      <c r="AF29" s="267">
        <f t="shared" si="9"/>
        <v>0.95393258426966288</v>
      </c>
      <c r="AG29" s="573"/>
    </row>
    <row r="30" spans="1:33" ht="15.75" customHeight="1">
      <c r="A30" s="595" t="s">
        <v>1518</v>
      </c>
      <c r="B30" s="39" t="s">
        <v>94</v>
      </c>
      <c r="C30" s="594" t="s">
        <v>97</v>
      </c>
      <c r="D30" s="594"/>
      <c r="E30" s="39">
        <v>26.37</v>
      </c>
      <c r="F30" s="273">
        <v>3123</v>
      </c>
      <c r="G30" s="266">
        <f t="shared" si="23"/>
        <v>82353.510000000009</v>
      </c>
      <c r="H30" s="48" t="s">
        <v>126</v>
      </c>
      <c r="I30" s="271">
        <v>18</v>
      </c>
      <c r="J30" s="43">
        <v>2400</v>
      </c>
      <c r="K30" s="18">
        <f t="shared" si="1"/>
        <v>133.33333333333334</v>
      </c>
      <c r="L30" s="271">
        <v>18</v>
      </c>
      <c r="M30" s="19">
        <f t="shared" si="24"/>
        <v>2285.1219512195112</v>
      </c>
      <c r="N30" s="18">
        <f t="shared" si="3"/>
        <v>126.95121951219507</v>
      </c>
      <c r="O30" s="20">
        <f t="shared" si="4"/>
        <v>0</v>
      </c>
      <c r="P30" s="21">
        <f t="shared" si="5"/>
        <v>-6.382113821138276</v>
      </c>
      <c r="Q30" s="267">
        <f t="shared" si="6"/>
        <v>0.95213414634146298</v>
      </c>
      <c r="R30" s="573"/>
      <c r="S30" s="49">
        <v>0.60069444444444442</v>
      </c>
      <c r="T30" s="49">
        <v>0.65763888888888888</v>
      </c>
      <c r="U30" s="266">
        <f t="shared" si="26"/>
        <v>4.9999999999999822</v>
      </c>
      <c r="V30" s="272">
        <f t="shared" si="25"/>
        <v>82.000000000000028</v>
      </c>
      <c r="W30" s="25"/>
      <c r="X30" s="25"/>
      <c r="Y30" s="25"/>
      <c r="Z30" s="25"/>
      <c r="AA30" s="575"/>
      <c r="AB30" s="575"/>
      <c r="AC30" s="27"/>
      <c r="AD30" s="27"/>
      <c r="AE30" s="20">
        <f t="shared" si="8"/>
        <v>-114.87804878048883</v>
      </c>
      <c r="AF30" s="267">
        <f t="shared" si="9"/>
        <v>0.95213414634146298</v>
      </c>
      <c r="AG30" s="573"/>
    </row>
    <row r="31" spans="1:33" ht="15.75" customHeight="1">
      <c r="A31" s="595" t="s">
        <v>1518</v>
      </c>
      <c r="B31" s="39" t="s">
        <v>94</v>
      </c>
      <c r="C31" s="269" t="s">
        <v>529</v>
      </c>
      <c r="D31" s="270"/>
      <c r="E31" s="39">
        <v>26.18</v>
      </c>
      <c r="F31" s="273">
        <v>4956</v>
      </c>
      <c r="G31" s="266">
        <f t="shared" si="23"/>
        <v>129748.08</v>
      </c>
      <c r="H31" s="48" t="s">
        <v>126</v>
      </c>
      <c r="I31" s="271">
        <v>19</v>
      </c>
      <c r="J31" s="43">
        <v>2400</v>
      </c>
      <c r="K31" s="18">
        <f t="shared" si="1"/>
        <v>126.31578947368421</v>
      </c>
      <c r="L31" s="271">
        <v>19</v>
      </c>
      <c r="M31" s="19">
        <f t="shared" si="24"/>
        <v>2287.3846153846148</v>
      </c>
      <c r="N31" s="18">
        <f t="shared" si="3"/>
        <v>120.38866396761131</v>
      </c>
      <c r="O31" s="20">
        <f t="shared" si="4"/>
        <v>0</v>
      </c>
      <c r="P31" s="21">
        <f t="shared" si="5"/>
        <v>-5.9271255060728976</v>
      </c>
      <c r="Q31" s="267">
        <f t="shared" si="6"/>
        <v>0.95307692307692293</v>
      </c>
      <c r="R31" s="573"/>
      <c r="S31" s="49">
        <v>0.66111111111111109</v>
      </c>
      <c r="T31" s="49">
        <v>0.75138888888888888</v>
      </c>
      <c r="U31" s="266">
        <f t="shared" si="26"/>
        <v>4.9999999999999822</v>
      </c>
      <c r="V31" s="272">
        <f t="shared" si="25"/>
        <v>130.00000000000003</v>
      </c>
      <c r="W31" s="25"/>
      <c r="X31" s="25"/>
      <c r="Y31" s="25"/>
      <c r="Z31" s="25"/>
      <c r="AA31" s="262"/>
      <c r="AB31" s="263"/>
      <c r="AC31" s="27"/>
      <c r="AD31" s="27"/>
      <c r="AE31" s="20">
        <f t="shared" si="8"/>
        <v>-112.61538461538521</v>
      </c>
      <c r="AF31" s="267">
        <f t="shared" si="9"/>
        <v>0.95307692307692282</v>
      </c>
      <c r="AG31" s="573"/>
    </row>
    <row r="32" spans="1:33" ht="15.75" customHeight="1">
      <c r="A32" s="595" t="s">
        <v>1518</v>
      </c>
      <c r="B32" s="39" t="s">
        <v>1514</v>
      </c>
      <c r="C32" s="576"/>
      <c r="D32" s="576"/>
      <c r="E32" s="268"/>
      <c r="F32" s="273"/>
      <c r="G32" s="266"/>
      <c r="H32" s="273"/>
      <c r="I32" s="32">
        <v>17.375</v>
      </c>
      <c r="J32" s="43">
        <v>2400</v>
      </c>
      <c r="K32" s="18">
        <f t="shared" si="1"/>
        <v>138.12949640287769</v>
      </c>
      <c r="L32" s="32">
        <v>17.375</v>
      </c>
      <c r="M32" s="19">
        <f>AVERAGE(M24:M31)</f>
        <v>2291.2329562830837</v>
      </c>
      <c r="N32" s="18">
        <f t="shared" si="3"/>
        <v>131.8695226637746</v>
      </c>
      <c r="O32" s="20">
        <f t="shared" si="4"/>
        <v>0</v>
      </c>
      <c r="P32" s="21">
        <f t="shared" si="5"/>
        <v>-6.2599737391030885</v>
      </c>
      <c r="Q32" s="267">
        <f t="shared" si="6"/>
        <v>0.95468039845128494</v>
      </c>
      <c r="R32" s="573"/>
      <c r="S32" s="49"/>
      <c r="T32" s="49"/>
      <c r="U32" s="266"/>
      <c r="V32" s="272"/>
      <c r="W32" s="266"/>
      <c r="X32" s="266"/>
      <c r="Y32" s="33">
        <f>SUM(Y24:Y31)</f>
        <v>0</v>
      </c>
      <c r="Z32" s="33">
        <f>SUM(Z24:Z31)</f>
        <v>0</v>
      </c>
      <c r="AA32" s="572"/>
      <c r="AB32" s="572"/>
      <c r="AC32" s="33">
        <v>8</v>
      </c>
      <c r="AD32" s="33">
        <f>SUM(AD24:AD31)</f>
        <v>0</v>
      </c>
      <c r="AE32" s="20">
        <f t="shared" si="8"/>
        <v>-108.76704371691631</v>
      </c>
      <c r="AF32" s="267">
        <f t="shared" si="9"/>
        <v>0.95468039845128483</v>
      </c>
      <c r="AG32" s="573"/>
    </row>
    <row r="33" spans="1:33" ht="15.75" customHeight="1">
      <c r="A33" s="592" t="s">
        <v>1519</v>
      </c>
      <c r="B33" s="39" t="s">
        <v>94</v>
      </c>
      <c r="C33" s="574" t="s">
        <v>530</v>
      </c>
      <c r="D33" s="574"/>
      <c r="E33" s="39">
        <v>26.18</v>
      </c>
      <c r="F33" s="273">
        <v>4000</v>
      </c>
      <c r="G33" s="266">
        <f t="shared" ref="G33:G38" si="27">E33*F33</f>
        <v>104720</v>
      </c>
      <c r="H33" s="48">
        <v>2</v>
      </c>
      <c r="I33" s="271">
        <v>21</v>
      </c>
      <c r="J33" s="43">
        <v>2400</v>
      </c>
      <c r="K33" s="18">
        <f t="shared" si="1"/>
        <v>114.28571428571429</v>
      </c>
      <c r="L33" s="271">
        <v>21</v>
      </c>
      <c r="M33" s="19">
        <f t="shared" ref="M33:M38" si="28">F33/V33*60</f>
        <v>2285.7142857142858</v>
      </c>
      <c r="N33" s="18">
        <f t="shared" si="3"/>
        <v>108.84353741496599</v>
      </c>
      <c r="O33" s="20">
        <f t="shared" si="4"/>
        <v>0</v>
      </c>
      <c r="P33" s="21">
        <f t="shared" si="5"/>
        <v>-5.4421768707482983</v>
      </c>
      <c r="Q33" s="267">
        <f t="shared" si="6"/>
        <v>0.95238095238095244</v>
      </c>
      <c r="R33" s="573">
        <f>Q39</f>
        <v>0.9548517343622156</v>
      </c>
      <c r="S33" s="49">
        <v>8.3333333333333329E-2</v>
      </c>
      <c r="T33" s="49">
        <v>0.15625</v>
      </c>
      <c r="U33" s="266"/>
      <c r="V33" s="272">
        <f t="shared" ref="V33:V38" si="29">(T33-S33)*24*60</f>
        <v>105</v>
      </c>
      <c r="W33" s="30">
        <f>T33</f>
        <v>0.15625</v>
      </c>
      <c r="X33" s="30">
        <f>S34</f>
        <v>0.17777777777777778</v>
      </c>
      <c r="Y33" s="30"/>
      <c r="Z33" s="30"/>
      <c r="AA33" s="575"/>
      <c r="AB33" s="575"/>
      <c r="AC33" s="27">
        <v>6</v>
      </c>
      <c r="AD33" s="27"/>
      <c r="AE33" s="20">
        <f t="shared" si="8"/>
        <v>-114.28571428571422</v>
      </c>
      <c r="AF33" s="267">
        <f t="shared" si="9"/>
        <v>0.95238095238095244</v>
      </c>
      <c r="AG33" s="573">
        <f>AF39</f>
        <v>0.95485173436221571</v>
      </c>
    </row>
    <row r="34" spans="1:33" ht="15.75" customHeight="1">
      <c r="A34" s="592" t="s">
        <v>1519</v>
      </c>
      <c r="B34" s="39" t="s">
        <v>94</v>
      </c>
      <c r="C34" s="574" t="s">
        <v>100</v>
      </c>
      <c r="D34" s="574"/>
      <c r="E34" s="39">
        <v>24.43</v>
      </c>
      <c r="F34" s="273">
        <v>6725</v>
      </c>
      <c r="G34" s="266">
        <f t="shared" si="27"/>
        <v>164291.75</v>
      </c>
      <c r="H34" s="48" t="s">
        <v>126</v>
      </c>
      <c r="I34" s="271">
        <v>14</v>
      </c>
      <c r="J34" s="43">
        <v>2400</v>
      </c>
      <c r="K34" s="18">
        <f t="shared" si="1"/>
        <v>171.42857142857142</v>
      </c>
      <c r="L34" s="271">
        <v>14</v>
      </c>
      <c r="M34" s="19">
        <f t="shared" si="28"/>
        <v>2292.6136363636369</v>
      </c>
      <c r="N34" s="18">
        <f t="shared" si="3"/>
        <v>163.75811688311691</v>
      </c>
      <c r="O34" s="20">
        <f t="shared" si="4"/>
        <v>0</v>
      </c>
      <c r="P34" s="21">
        <f t="shared" si="5"/>
        <v>-7.6704545454545041</v>
      </c>
      <c r="Q34" s="267">
        <f t="shared" si="6"/>
        <v>0.9552556818181821</v>
      </c>
      <c r="R34" s="573"/>
      <c r="S34" s="49">
        <v>0.17777777777777778</v>
      </c>
      <c r="T34" s="49">
        <v>0.3</v>
      </c>
      <c r="U34" s="266">
        <f t="shared" ref="U34:U38" si="30">(S34-T33)*24*60</f>
        <v>31.000000000000011</v>
      </c>
      <c r="V34" s="272">
        <f t="shared" si="29"/>
        <v>175.99999999999997</v>
      </c>
      <c r="W34" s="266"/>
      <c r="X34" s="266"/>
      <c r="Y34" s="266"/>
      <c r="Z34" s="266"/>
      <c r="AA34" s="575"/>
      <c r="AB34" s="575"/>
      <c r="AC34" s="27"/>
      <c r="AD34" s="27"/>
      <c r="AE34" s="20">
        <f t="shared" si="8"/>
        <v>-107.38636363636306</v>
      </c>
      <c r="AF34" s="267">
        <f t="shared" si="9"/>
        <v>0.9552556818181821</v>
      </c>
      <c r="AG34" s="573"/>
    </row>
    <row r="35" spans="1:33">
      <c r="A35" s="593" t="s">
        <v>1519</v>
      </c>
      <c r="B35" s="39" t="s">
        <v>94</v>
      </c>
      <c r="C35" s="574" t="s">
        <v>102</v>
      </c>
      <c r="D35" s="574"/>
      <c r="E35" s="39">
        <v>34.1</v>
      </c>
      <c r="F35" s="273">
        <v>4300</v>
      </c>
      <c r="G35" s="266">
        <f t="shared" si="27"/>
        <v>146630</v>
      </c>
      <c r="H35" s="48">
        <v>2</v>
      </c>
      <c r="I35" s="271">
        <v>17</v>
      </c>
      <c r="J35" s="43">
        <v>1600</v>
      </c>
      <c r="K35" s="18">
        <f t="shared" si="1"/>
        <v>94.117647058823536</v>
      </c>
      <c r="L35" s="271">
        <v>17</v>
      </c>
      <c r="M35" s="19">
        <f t="shared" si="28"/>
        <v>1526.6272189349108</v>
      </c>
      <c r="N35" s="18">
        <f t="shared" si="3"/>
        <v>89.801601113818279</v>
      </c>
      <c r="O35" s="20">
        <f t="shared" si="4"/>
        <v>0</v>
      </c>
      <c r="P35" s="21">
        <f t="shared" si="5"/>
        <v>-4.3160459450052571</v>
      </c>
      <c r="Q35" s="267">
        <f t="shared" si="6"/>
        <v>0.95414201183431913</v>
      </c>
      <c r="R35" s="573"/>
      <c r="S35" s="49">
        <v>0.30555555555555552</v>
      </c>
      <c r="T35" s="49">
        <v>0.42291666666666666</v>
      </c>
      <c r="U35" s="266">
        <f t="shared" si="30"/>
        <v>7.9999999999999716</v>
      </c>
      <c r="V35" s="272">
        <f t="shared" si="29"/>
        <v>169.00000000000003</v>
      </c>
      <c r="W35" s="266"/>
      <c r="X35" s="266"/>
      <c r="Y35" s="266"/>
      <c r="Z35" s="266"/>
      <c r="AA35" s="575"/>
      <c r="AB35" s="575"/>
      <c r="AC35" s="27"/>
      <c r="AD35" s="27"/>
      <c r="AE35" s="20">
        <f t="shared" si="8"/>
        <v>-73.372781065089157</v>
      </c>
      <c r="AF35" s="267">
        <f t="shared" si="9"/>
        <v>0.95414201183431924</v>
      </c>
      <c r="AG35" s="573"/>
    </row>
    <row r="36" spans="1:33">
      <c r="A36" s="593" t="s">
        <v>1519</v>
      </c>
      <c r="B36" s="39" t="s">
        <v>94</v>
      </c>
      <c r="C36" s="574" t="s">
        <v>101</v>
      </c>
      <c r="D36" s="574"/>
      <c r="E36" s="39">
        <v>25.98</v>
      </c>
      <c r="F36" s="273">
        <v>3247</v>
      </c>
      <c r="G36" s="266">
        <f t="shared" si="27"/>
        <v>84357.06</v>
      </c>
      <c r="H36" s="48" t="s">
        <v>126</v>
      </c>
      <c r="I36" s="271">
        <v>19</v>
      </c>
      <c r="J36" s="43">
        <v>2400</v>
      </c>
      <c r="K36" s="18">
        <f t="shared" si="1"/>
        <v>126.31578947368421</v>
      </c>
      <c r="L36" s="271">
        <v>19</v>
      </c>
      <c r="M36" s="19">
        <f t="shared" si="28"/>
        <v>2291.9999999999995</v>
      </c>
      <c r="N36" s="18">
        <f t="shared" si="3"/>
        <v>120.6315789473684</v>
      </c>
      <c r="O36" s="20">
        <f t="shared" si="4"/>
        <v>0</v>
      </c>
      <c r="P36" s="21">
        <f t="shared" si="5"/>
        <v>-5.6842105263158089</v>
      </c>
      <c r="Q36" s="267">
        <f t="shared" si="6"/>
        <v>0.95499999999999985</v>
      </c>
      <c r="R36" s="573"/>
      <c r="S36" s="49">
        <v>0.42708333333333331</v>
      </c>
      <c r="T36" s="49">
        <v>0.4861111111111111</v>
      </c>
      <c r="U36" s="266">
        <f t="shared" si="30"/>
        <v>5.9999999999999787</v>
      </c>
      <c r="V36" s="272">
        <f t="shared" si="29"/>
        <v>85.000000000000014</v>
      </c>
      <c r="W36" s="25">
        <f>T36</f>
        <v>0.4861111111111111</v>
      </c>
      <c r="X36" s="25">
        <f>S37</f>
        <v>0.52847222222222223</v>
      </c>
      <c r="Y36" s="25"/>
      <c r="Z36" s="25"/>
      <c r="AA36" s="575"/>
      <c r="AB36" s="575"/>
      <c r="AC36" s="27"/>
      <c r="AD36" s="27"/>
      <c r="AE36" s="20">
        <f t="shared" si="8"/>
        <v>-108.00000000000045</v>
      </c>
      <c r="AF36" s="267">
        <f t="shared" si="9"/>
        <v>0.95499999999999985</v>
      </c>
      <c r="AG36" s="573"/>
    </row>
    <row r="37" spans="1:33">
      <c r="A37" s="593" t="s">
        <v>1519</v>
      </c>
      <c r="B37" s="39" t="s">
        <v>94</v>
      </c>
      <c r="C37" s="574" t="s">
        <v>102</v>
      </c>
      <c r="D37" s="574"/>
      <c r="E37" s="39">
        <v>34.1</v>
      </c>
      <c r="F37" s="273">
        <v>3666</v>
      </c>
      <c r="G37" s="266">
        <f t="shared" si="27"/>
        <v>125010.6</v>
      </c>
      <c r="H37" s="48" t="s">
        <v>126</v>
      </c>
      <c r="I37" s="271">
        <v>17</v>
      </c>
      <c r="J37" s="43">
        <v>1600</v>
      </c>
      <c r="K37" s="18">
        <f t="shared" si="1"/>
        <v>94.117647058823536</v>
      </c>
      <c r="L37" s="271">
        <v>17</v>
      </c>
      <c r="M37" s="19">
        <f t="shared" si="28"/>
        <v>1527.5000000000005</v>
      </c>
      <c r="N37" s="18">
        <f t="shared" si="3"/>
        <v>89.852941176470608</v>
      </c>
      <c r="O37" s="20">
        <f t="shared" si="4"/>
        <v>0</v>
      </c>
      <c r="P37" s="21">
        <f t="shared" si="5"/>
        <v>-4.2647058823529278</v>
      </c>
      <c r="Q37" s="267">
        <f t="shared" si="6"/>
        <v>0.95468750000000013</v>
      </c>
      <c r="R37" s="573"/>
      <c r="S37" s="49">
        <v>0.52847222222222223</v>
      </c>
      <c r="T37" s="49">
        <v>0.62847222222222221</v>
      </c>
      <c r="U37" s="266">
        <f t="shared" si="30"/>
        <v>61.000000000000021</v>
      </c>
      <c r="V37" s="272">
        <f t="shared" si="29"/>
        <v>143.99999999999997</v>
      </c>
      <c r="W37" s="25"/>
      <c r="X37" s="25"/>
      <c r="Y37" s="25"/>
      <c r="Z37" s="25"/>
      <c r="AA37" s="575"/>
      <c r="AB37" s="575"/>
      <c r="AC37" s="27"/>
      <c r="AD37" s="27"/>
      <c r="AE37" s="20">
        <f t="shared" si="8"/>
        <v>-72.499999999999545</v>
      </c>
      <c r="AF37" s="267">
        <f t="shared" si="9"/>
        <v>0.95468750000000024</v>
      </c>
      <c r="AG37" s="573"/>
    </row>
    <row r="38" spans="1:33">
      <c r="A38" s="593" t="s">
        <v>58</v>
      </c>
      <c r="B38" s="39" t="s">
        <v>94</v>
      </c>
      <c r="C38" s="574" t="s">
        <v>530</v>
      </c>
      <c r="D38" s="574"/>
      <c r="E38" s="39">
        <v>26.18</v>
      </c>
      <c r="F38" s="273">
        <v>4557</v>
      </c>
      <c r="G38" s="266">
        <f t="shared" si="27"/>
        <v>119302.26</v>
      </c>
      <c r="H38" s="48" t="s">
        <v>126</v>
      </c>
      <c r="I38" s="271">
        <v>21</v>
      </c>
      <c r="J38" s="43">
        <v>2400</v>
      </c>
      <c r="K38" s="18">
        <f t="shared" si="1"/>
        <v>114.28571428571429</v>
      </c>
      <c r="L38" s="271">
        <v>21</v>
      </c>
      <c r="M38" s="19">
        <f t="shared" si="28"/>
        <v>2297.6470588235284</v>
      </c>
      <c r="N38" s="18">
        <f t="shared" si="3"/>
        <v>109.41176470588231</v>
      </c>
      <c r="O38" s="20">
        <f t="shared" si="4"/>
        <v>0</v>
      </c>
      <c r="P38" s="21">
        <f t="shared" si="5"/>
        <v>-4.8739495798319865</v>
      </c>
      <c r="Q38" s="267">
        <f t="shared" si="6"/>
        <v>0.95735294117647007</v>
      </c>
      <c r="R38" s="573"/>
      <c r="S38" s="49">
        <v>0.63402777777777775</v>
      </c>
      <c r="T38" s="49">
        <v>0.71666666666666667</v>
      </c>
      <c r="U38" s="266">
        <f t="shared" si="30"/>
        <v>7.9999999999999716</v>
      </c>
      <c r="V38" s="272">
        <f t="shared" si="29"/>
        <v>119.00000000000006</v>
      </c>
      <c r="W38" s="25"/>
      <c r="X38" s="25"/>
      <c r="Y38" s="25"/>
      <c r="Z38" s="25"/>
      <c r="AA38" s="575"/>
      <c r="AB38" s="575"/>
      <c r="AC38" s="27"/>
      <c r="AD38" s="27"/>
      <c r="AE38" s="20">
        <f t="shared" si="8"/>
        <v>-102.35294117647163</v>
      </c>
      <c r="AF38" s="267">
        <f t="shared" si="9"/>
        <v>0.95735294117647018</v>
      </c>
      <c r="AG38" s="573"/>
    </row>
    <row r="39" spans="1:33">
      <c r="A39" s="593" t="s">
        <v>1519</v>
      </c>
      <c r="B39" s="42" t="s">
        <v>1514</v>
      </c>
      <c r="C39" s="576"/>
      <c r="D39" s="576"/>
      <c r="E39" s="268"/>
      <c r="F39" s="42"/>
      <c r="G39" s="18"/>
      <c r="H39" s="273"/>
      <c r="I39" s="32">
        <v>18.166666666666668</v>
      </c>
      <c r="J39" s="43">
        <v>2133.3333333333335</v>
      </c>
      <c r="K39" s="18">
        <f t="shared" si="1"/>
        <v>117.43119266055047</v>
      </c>
      <c r="L39" s="32">
        <v>18.166666666666668</v>
      </c>
      <c r="M39" s="19">
        <f>AVERAGE(M33:M38)</f>
        <v>2037.0170333060603</v>
      </c>
      <c r="N39" s="18">
        <f t="shared" si="3"/>
        <v>112.1293779801501</v>
      </c>
      <c r="O39" s="20">
        <f t="shared" si="4"/>
        <v>0</v>
      </c>
      <c r="P39" s="21">
        <f t="shared" si="5"/>
        <v>-5.3018146804003692</v>
      </c>
      <c r="Q39" s="267">
        <f t="shared" si="6"/>
        <v>0.9548517343622156</v>
      </c>
      <c r="R39" s="573"/>
      <c r="S39" s="49"/>
      <c r="T39" s="49"/>
      <c r="U39" s="18"/>
      <c r="V39" s="272"/>
      <c r="W39" s="18"/>
      <c r="X39" s="18"/>
      <c r="Y39" s="33">
        <f>SUM(Y33:Y38)</f>
        <v>0</v>
      </c>
      <c r="Z39" s="33">
        <f>SUM(Z33:Z38)</f>
        <v>0</v>
      </c>
      <c r="AA39" s="572"/>
      <c r="AB39" s="572"/>
      <c r="AC39" s="33">
        <v>6</v>
      </c>
      <c r="AD39" s="33">
        <f>SUM(AD33:AD38)</f>
        <v>0</v>
      </c>
      <c r="AE39" s="20">
        <f t="shared" si="8"/>
        <v>-96.316300027273201</v>
      </c>
      <c r="AF39" s="267">
        <f t="shared" si="9"/>
        <v>0.95485173436221571</v>
      </c>
      <c r="AG39" s="573"/>
    </row>
    <row r="40" spans="1:33" ht="15.75" customHeight="1">
      <c r="A40" s="589" t="s">
        <v>1520</v>
      </c>
      <c r="B40" s="39" t="s">
        <v>104</v>
      </c>
      <c r="C40" s="566" t="s">
        <v>105</v>
      </c>
      <c r="D40" s="567"/>
      <c r="E40" s="39">
        <v>37.880000000000003</v>
      </c>
      <c r="F40" s="273">
        <v>2704</v>
      </c>
      <c r="G40" s="266">
        <f t="shared" ref="G40:G43" si="31">E40*F40</f>
        <v>102427.52</v>
      </c>
      <c r="H40" s="48" t="s">
        <v>126</v>
      </c>
      <c r="I40" s="271">
        <v>13</v>
      </c>
      <c r="J40" s="43">
        <v>2000</v>
      </c>
      <c r="K40" s="18">
        <f t="shared" si="1"/>
        <v>153.84615384615384</v>
      </c>
      <c r="L40" s="271">
        <v>13</v>
      </c>
      <c r="M40" s="19">
        <f t="shared" ref="M40:M43" si="32">F40/V40*60</f>
        <v>1908.7058823529414</v>
      </c>
      <c r="N40" s="19">
        <f t="shared" si="3"/>
        <v>146.82352941176472</v>
      </c>
      <c r="O40" s="20">
        <f t="shared" si="4"/>
        <v>0</v>
      </c>
      <c r="P40" s="21">
        <f t="shared" si="5"/>
        <v>-7.0226244343891153</v>
      </c>
      <c r="Q40" s="267">
        <f t="shared" si="6"/>
        <v>0.95435294117647074</v>
      </c>
      <c r="R40" s="584">
        <f>Q44</f>
        <v>0.95424246354329445</v>
      </c>
      <c r="S40" s="49">
        <v>8.3333333333333329E-2</v>
      </c>
      <c r="T40" s="49">
        <v>0.1423611111111111</v>
      </c>
      <c r="U40" s="30"/>
      <c r="V40" s="272">
        <f t="shared" ref="V40:V43" si="33">(T40-S40)*24*60</f>
        <v>84.999999999999986</v>
      </c>
      <c r="W40" s="25">
        <f>T40</f>
        <v>0.1423611111111111</v>
      </c>
      <c r="X40" s="25">
        <f>S41</f>
        <v>0.16041666666666665</v>
      </c>
      <c r="Y40" s="28"/>
      <c r="Z40" s="28"/>
      <c r="AA40" s="568"/>
      <c r="AB40" s="569"/>
      <c r="AC40" s="27">
        <v>4</v>
      </c>
      <c r="AD40" s="27"/>
      <c r="AE40" s="20">
        <f t="shared" si="8"/>
        <v>-91.294117647058556</v>
      </c>
      <c r="AF40" s="267">
        <f t="shared" si="9"/>
        <v>0.95435294117647074</v>
      </c>
      <c r="AG40" s="584">
        <f>AF44</f>
        <v>0.95424246354329445</v>
      </c>
    </row>
    <row r="41" spans="1:33" ht="15.75" customHeight="1">
      <c r="A41" s="590" t="s">
        <v>1520</v>
      </c>
      <c r="B41" s="39" t="s">
        <v>104</v>
      </c>
      <c r="C41" s="566" t="s">
        <v>106</v>
      </c>
      <c r="D41" s="567"/>
      <c r="E41" s="39">
        <v>35.119999999999997</v>
      </c>
      <c r="F41" s="273">
        <v>4822</v>
      </c>
      <c r="G41" s="266">
        <f t="shared" si="31"/>
        <v>169348.63999999998</v>
      </c>
      <c r="H41" s="48" t="s">
        <v>126</v>
      </c>
      <c r="I41" s="271">
        <v>10</v>
      </c>
      <c r="J41" s="43">
        <v>3000</v>
      </c>
      <c r="K41" s="18">
        <f t="shared" si="1"/>
        <v>300</v>
      </c>
      <c r="L41" s="271">
        <v>10</v>
      </c>
      <c r="M41" s="19">
        <f t="shared" si="32"/>
        <v>2864.5544554455446</v>
      </c>
      <c r="N41" s="19">
        <f t="shared" si="3"/>
        <v>286.45544554455444</v>
      </c>
      <c r="O41" s="20">
        <f t="shared" si="4"/>
        <v>0</v>
      </c>
      <c r="P41" s="21">
        <f t="shared" si="5"/>
        <v>-13.544554455445564</v>
      </c>
      <c r="Q41" s="267">
        <f t="shared" si="6"/>
        <v>0.95485148514851481</v>
      </c>
      <c r="R41" s="585"/>
      <c r="S41" s="49">
        <v>0.16041666666666665</v>
      </c>
      <c r="T41" s="49">
        <v>0.23055555555555554</v>
      </c>
      <c r="U41" s="266">
        <f t="shared" ref="U41:U43" si="34">(S41-T40)*24*60</f>
        <v>25.999999999999986</v>
      </c>
      <c r="V41" s="272">
        <f t="shared" si="33"/>
        <v>101</v>
      </c>
      <c r="W41" s="25"/>
      <c r="X41" s="25"/>
      <c r="Y41" s="28"/>
      <c r="Z41" s="28"/>
      <c r="AA41" s="568"/>
      <c r="AB41" s="569"/>
      <c r="AC41" s="27"/>
      <c r="AD41" s="27"/>
      <c r="AE41" s="20">
        <f t="shared" si="8"/>
        <v>-135.44554455445541</v>
      </c>
      <c r="AF41" s="267">
        <f t="shared" si="9"/>
        <v>0.95485148514851481</v>
      </c>
      <c r="AG41" s="585"/>
    </row>
    <row r="42" spans="1:33" ht="15.75" customHeight="1">
      <c r="A42" s="590" t="s">
        <v>1520</v>
      </c>
      <c r="B42" s="39" t="s">
        <v>104</v>
      </c>
      <c r="C42" s="566" t="s">
        <v>107</v>
      </c>
      <c r="D42" s="567"/>
      <c r="E42" s="39">
        <v>21.13</v>
      </c>
      <c r="F42" s="273">
        <v>4996</v>
      </c>
      <c r="G42" s="266">
        <f t="shared" si="31"/>
        <v>105565.48</v>
      </c>
      <c r="H42" s="48" t="s">
        <v>126</v>
      </c>
      <c r="I42" s="271">
        <v>10</v>
      </c>
      <c r="J42" s="43">
        <v>3000</v>
      </c>
      <c r="K42" s="18">
        <f t="shared" si="1"/>
        <v>300</v>
      </c>
      <c r="L42" s="271">
        <v>10</v>
      </c>
      <c r="M42" s="19">
        <f t="shared" si="32"/>
        <v>2854.8571428571422</v>
      </c>
      <c r="N42" s="19">
        <f t="shared" si="3"/>
        <v>285.48571428571421</v>
      </c>
      <c r="O42" s="20">
        <f t="shared" si="4"/>
        <v>0</v>
      </c>
      <c r="P42" s="21">
        <f t="shared" si="5"/>
        <v>-14.514285714285791</v>
      </c>
      <c r="Q42" s="267">
        <f t="shared" si="6"/>
        <v>0.95161904761904736</v>
      </c>
      <c r="R42" s="585"/>
      <c r="S42" s="49">
        <v>0.23541666666666666</v>
      </c>
      <c r="T42" s="49">
        <v>0.30833333333333335</v>
      </c>
      <c r="U42" s="266">
        <f t="shared" si="34"/>
        <v>7.0000000000000151</v>
      </c>
      <c r="V42" s="272">
        <f t="shared" si="33"/>
        <v>105.00000000000003</v>
      </c>
      <c r="W42" s="25"/>
      <c r="X42" s="25"/>
      <c r="Y42" s="28"/>
      <c r="Z42" s="28"/>
      <c r="AA42" s="568"/>
      <c r="AB42" s="569"/>
      <c r="AC42" s="27"/>
      <c r="AD42" s="27"/>
      <c r="AE42" s="20">
        <f t="shared" si="8"/>
        <v>-145.14285714285779</v>
      </c>
      <c r="AF42" s="267">
        <f t="shared" si="9"/>
        <v>0.95161904761904736</v>
      </c>
      <c r="AG42" s="585"/>
    </row>
    <row r="43" spans="1:33" ht="15.75" customHeight="1">
      <c r="A43" s="590" t="s">
        <v>1520</v>
      </c>
      <c r="B43" s="39" t="s">
        <v>104</v>
      </c>
      <c r="C43" s="566" t="s">
        <v>108</v>
      </c>
      <c r="D43" s="567"/>
      <c r="E43" s="39">
        <v>27.17</v>
      </c>
      <c r="F43" s="273">
        <v>6263</v>
      </c>
      <c r="G43" s="266">
        <f t="shared" si="31"/>
        <v>170165.71000000002</v>
      </c>
      <c r="H43" s="48" t="s">
        <v>126</v>
      </c>
      <c r="I43" s="271">
        <v>10</v>
      </c>
      <c r="J43" s="43">
        <v>3000</v>
      </c>
      <c r="K43" s="18">
        <f t="shared" si="1"/>
        <v>300</v>
      </c>
      <c r="L43" s="271">
        <v>10</v>
      </c>
      <c r="M43" s="19">
        <f t="shared" si="32"/>
        <v>2868.5496183206105</v>
      </c>
      <c r="N43" s="19">
        <f t="shared" si="3"/>
        <v>286.85496183206106</v>
      </c>
      <c r="O43" s="20">
        <f t="shared" si="4"/>
        <v>0</v>
      </c>
      <c r="P43" s="21">
        <f t="shared" si="5"/>
        <v>-13.145038167938935</v>
      </c>
      <c r="Q43" s="267">
        <f t="shared" si="6"/>
        <v>0.95618320610687024</v>
      </c>
      <c r="R43" s="585"/>
      <c r="S43" s="49">
        <v>0.31388888888888888</v>
      </c>
      <c r="T43" s="49">
        <v>0.40486111111111112</v>
      </c>
      <c r="U43" s="266">
        <f t="shared" si="34"/>
        <v>7.9999999999999716</v>
      </c>
      <c r="V43" s="272">
        <f t="shared" si="33"/>
        <v>131</v>
      </c>
      <c r="W43" s="25"/>
      <c r="X43" s="25"/>
      <c r="Y43" s="28"/>
      <c r="Z43" s="28"/>
      <c r="AA43" s="568"/>
      <c r="AB43" s="569"/>
      <c r="AC43" s="27"/>
      <c r="AD43" s="27"/>
      <c r="AE43" s="20">
        <f t="shared" si="8"/>
        <v>-131.45038167938947</v>
      </c>
      <c r="AF43" s="267">
        <f t="shared" si="9"/>
        <v>0.95618320610687013</v>
      </c>
      <c r="AG43" s="585"/>
    </row>
    <row r="44" spans="1:33" ht="15.75" customHeight="1">
      <c r="A44" s="591" t="s">
        <v>61</v>
      </c>
      <c r="B44" s="39" t="s">
        <v>1514</v>
      </c>
      <c r="C44" s="570"/>
      <c r="D44" s="571"/>
      <c r="E44" s="264"/>
      <c r="F44" s="273"/>
      <c r="G44" s="266"/>
      <c r="H44" s="273"/>
      <c r="I44" s="32">
        <v>10.75</v>
      </c>
      <c r="J44" s="43">
        <v>2750</v>
      </c>
      <c r="K44" s="18">
        <f t="shared" si="1"/>
        <v>255.81395348837211</v>
      </c>
      <c r="L44" s="32">
        <v>10.75</v>
      </c>
      <c r="M44" s="19">
        <f>AVERAGE(M40:M43)</f>
        <v>2624.1667747440597</v>
      </c>
      <c r="N44" s="18">
        <f t="shared" si="3"/>
        <v>244.10853718549393</v>
      </c>
      <c r="O44" s="20">
        <f t="shared" si="4"/>
        <v>0</v>
      </c>
      <c r="P44" s="21">
        <f t="shared" si="5"/>
        <v>-11.705416302878177</v>
      </c>
      <c r="Q44" s="267">
        <f t="shared" si="6"/>
        <v>0.95424246354329445</v>
      </c>
      <c r="R44" s="586"/>
      <c r="S44" s="49"/>
      <c r="T44" s="49"/>
      <c r="U44" s="266"/>
      <c r="V44" s="272"/>
      <c r="W44" s="25"/>
      <c r="X44" s="25"/>
      <c r="Y44" s="33">
        <f>SUM(Y40:Y43)</f>
        <v>0</v>
      </c>
      <c r="Z44" s="33">
        <f>SUM(Z40:Z43)</f>
        <v>0</v>
      </c>
      <c r="AA44" s="587"/>
      <c r="AB44" s="588"/>
      <c r="AC44" s="33">
        <v>4</v>
      </c>
      <c r="AD44" s="33">
        <f>SUM(AD40:AD43)</f>
        <v>0</v>
      </c>
      <c r="AE44" s="20">
        <f t="shared" si="8"/>
        <v>-125.83322525594031</v>
      </c>
      <c r="AF44" s="267">
        <f t="shared" si="9"/>
        <v>0.95424246354329445</v>
      </c>
      <c r="AG44" s="586"/>
    </row>
    <row r="45" spans="1:33" ht="15.75" customHeight="1">
      <c r="A45" s="582" t="s">
        <v>1521</v>
      </c>
      <c r="B45" s="39" t="s">
        <v>79</v>
      </c>
      <c r="C45" s="574" t="s">
        <v>109</v>
      </c>
      <c r="D45" s="574"/>
      <c r="E45" s="39">
        <v>46</v>
      </c>
      <c r="F45" s="45">
        <v>2210</v>
      </c>
      <c r="G45" s="266">
        <f t="shared" ref="G45:G52" si="35">E45*F45</f>
        <v>101660</v>
      </c>
      <c r="H45" s="48" t="s">
        <v>126</v>
      </c>
      <c r="I45" s="271">
        <v>16</v>
      </c>
      <c r="J45" s="43">
        <v>2000</v>
      </c>
      <c r="K45" s="18">
        <f t="shared" si="1"/>
        <v>125</v>
      </c>
      <c r="L45" s="271">
        <v>16</v>
      </c>
      <c r="M45" s="19">
        <f t="shared" ref="M45" si="36">F45/V45*60</f>
        <v>1921.7391304347839</v>
      </c>
      <c r="N45" s="19">
        <f t="shared" si="3"/>
        <v>120.10869565217399</v>
      </c>
      <c r="O45" s="20">
        <f t="shared" si="4"/>
        <v>0</v>
      </c>
      <c r="P45" s="21">
        <f t="shared" si="5"/>
        <v>-4.8913043478260079</v>
      </c>
      <c r="Q45" s="267">
        <f t="shared" si="6"/>
        <v>0.96086956521739197</v>
      </c>
      <c r="R45" s="573">
        <f>Q53</f>
        <v>0.95706859997199201</v>
      </c>
      <c r="S45" s="49">
        <v>0.20833333333333334</v>
      </c>
      <c r="T45" s="49">
        <v>0.25624999999999998</v>
      </c>
      <c r="U45" s="30"/>
      <c r="V45" s="272">
        <f t="shared" ref="V45:V52" si="37">(T45-S45)*24*60</f>
        <v>68.999999999999957</v>
      </c>
      <c r="W45" s="30"/>
      <c r="X45" s="30"/>
      <c r="Y45" s="30"/>
      <c r="Z45" s="30"/>
      <c r="AA45" s="575"/>
      <c r="AB45" s="575"/>
      <c r="AC45" s="27">
        <v>8</v>
      </c>
      <c r="AD45" s="27"/>
      <c r="AE45" s="20">
        <f t="shared" si="8"/>
        <v>-78.260869565216126</v>
      </c>
      <c r="AF45" s="267">
        <f t="shared" si="9"/>
        <v>0.96086956521739197</v>
      </c>
      <c r="AG45" s="573">
        <f>AF53</f>
        <v>0.9570685999719919</v>
      </c>
    </row>
    <row r="46" spans="1:33" ht="15.75" customHeight="1">
      <c r="A46" s="582" t="s">
        <v>1521</v>
      </c>
      <c r="B46" s="39" t="s">
        <v>74</v>
      </c>
      <c r="C46" s="574" t="s">
        <v>110</v>
      </c>
      <c r="D46" s="574"/>
      <c r="E46" s="39">
        <v>56.43</v>
      </c>
      <c r="F46" s="45">
        <v>1339</v>
      </c>
      <c r="G46" s="266">
        <f t="shared" si="35"/>
        <v>75559.77</v>
      </c>
      <c r="H46" s="48" t="s">
        <v>126</v>
      </c>
      <c r="I46" s="271">
        <v>22</v>
      </c>
      <c r="J46" s="43">
        <v>2000</v>
      </c>
      <c r="K46" s="18">
        <f t="shared" si="1"/>
        <v>90.909090909090907</v>
      </c>
      <c r="L46" s="271">
        <v>22</v>
      </c>
      <c r="M46" s="19">
        <f>F46/V46*60</f>
        <v>1912.8571428571422</v>
      </c>
      <c r="N46" s="19">
        <f t="shared" si="3"/>
        <v>86.948051948051912</v>
      </c>
      <c r="O46" s="20">
        <f t="shared" si="4"/>
        <v>0</v>
      </c>
      <c r="P46" s="21">
        <f t="shared" si="5"/>
        <v>-3.9610389610389944</v>
      </c>
      <c r="Q46" s="267">
        <f t="shared" si="6"/>
        <v>0.95642857142857107</v>
      </c>
      <c r="R46" s="573"/>
      <c r="S46" s="49">
        <v>0.26111111111111107</v>
      </c>
      <c r="T46" s="49">
        <v>0.29027777777777775</v>
      </c>
      <c r="U46" s="266">
        <f t="shared" ref="U46:U52" si="38">IF(S46=TIME(17,0,0),"",(S46-T45)*24*60)</f>
        <v>6.9999999999999751</v>
      </c>
      <c r="V46" s="272">
        <f t="shared" si="37"/>
        <v>42.000000000000014</v>
      </c>
      <c r="W46" s="25"/>
      <c r="X46" s="25"/>
      <c r="Y46" s="25"/>
      <c r="Z46" s="25"/>
      <c r="AA46" s="575"/>
      <c r="AB46" s="575"/>
      <c r="AC46" s="27"/>
      <c r="AD46" s="27"/>
      <c r="AE46" s="20">
        <f t="shared" si="8"/>
        <v>-87.142857142857792</v>
      </c>
      <c r="AF46" s="267">
        <f t="shared" si="9"/>
        <v>0.95642857142857107</v>
      </c>
      <c r="AG46" s="573"/>
    </row>
    <row r="47" spans="1:33" ht="15.75" customHeight="1">
      <c r="A47" s="582" t="s">
        <v>1521</v>
      </c>
      <c r="B47" s="39" t="s">
        <v>74</v>
      </c>
      <c r="C47" s="566" t="s">
        <v>111</v>
      </c>
      <c r="D47" s="567"/>
      <c r="E47" s="39">
        <v>51.75</v>
      </c>
      <c r="F47" s="45">
        <v>825</v>
      </c>
      <c r="G47" s="266">
        <f t="shared" si="35"/>
        <v>42693.75</v>
      </c>
      <c r="H47" s="48" t="s">
        <v>126</v>
      </c>
      <c r="I47" s="271">
        <v>25</v>
      </c>
      <c r="J47" s="43">
        <v>2000</v>
      </c>
      <c r="K47" s="18">
        <f t="shared" si="1"/>
        <v>80</v>
      </c>
      <c r="L47" s="271">
        <v>25</v>
      </c>
      <c r="M47" s="19">
        <f t="shared" ref="M47:M52" si="39">F47/V47*60</f>
        <v>1903.8461538461549</v>
      </c>
      <c r="N47" s="19">
        <f t="shared" si="3"/>
        <v>76.153846153846203</v>
      </c>
      <c r="O47" s="20">
        <f t="shared" si="4"/>
        <v>0</v>
      </c>
      <c r="P47" s="21">
        <f t="shared" si="5"/>
        <v>-3.846153846153797</v>
      </c>
      <c r="Q47" s="267">
        <f t="shared" si="6"/>
        <v>0.95192307692307754</v>
      </c>
      <c r="R47" s="573"/>
      <c r="S47" s="49">
        <v>0.29513888888888884</v>
      </c>
      <c r="T47" s="49">
        <v>0.31319444444444439</v>
      </c>
      <c r="U47" s="266">
        <f t="shared" si="38"/>
        <v>6.9999999999999751</v>
      </c>
      <c r="V47" s="272">
        <f t="shared" si="37"/>
        <v>25.999999999999986</v>
      </c>
      <c r="W47" s="25"/>
      <c r="X47" s="25"/>
      <c r="Y47" s="28"/>
      <c r="Z47" s="28"/>
      <c r="AA47" s="575"/>
      <c r="AB47" s="575"/>
      <c r="AC47" s="27"/>
      <c r="AD47" s="27"/>
      <c r="AE47" s="20">
        <f t="shared" si="8"/>
        <v>-96.153846153845052</v>
      </c>
      <c r="AF47" s="267">
        <f t="shared" si="9"/>
        <v>0.95192307692307743</v>
      </c>
      <c r="AG47" s="573"/>
    </row>
    <row r="48" spans="1:33" ht="15.75" customHeight="1">
      <c r="A48" s="582" t="s">
        <v>1521</v>
      </c>
      <c r="B48" s="39" t="s">
        <v>74</v>
      </c>
      <c r="C48" s="260" t="s">
        <v>88</v>
      </c>
      <c r="D48" s="261"/>
      <c r="E48" s="39">
        <v>59.04</v>
      </c>
      <c r="F48" s="45">
        <v>3200</v>
      </c>
      <c r="G48" s="266">
        <f t="shared" si="35"/>
        <v>188928</v>
      </c>
      <c r="H48" s="48">
        <v>2</v>
      </c>
      <c r="I48" s="271">
        <v>19</v>
      </c>
      <c r="J48" s="43">
        <v>2000</v>
      </c>
      <c r="K48" s="18">
        <f t="shared" si="1"/>
        <v>105.26315789473684</v>
      </c>
      <c r="L48" s="271">
        <v>19</v>
      </c>
      <c r="M48" s="19">
        <f t="shared" si="39"/>
        <v>1919.9999999999991</v>
      </c>
      <c r="N48" s="19">
        <f t="shared" si="3"/>
        <v>101.05263157894733</v>
      </c>
      <c r="O48" s="20">
        <f t="shared" si="4"/>
        <v>0</v>
      </c>
      <c r="P48" s="21">
        <f t="shared" si="5"/>
        <v>-4.2105263157895081</v>
      </c>
      <c r="Q48" s="267">
        <f t="shared" si="6"/>
        <v>0.95999999999999963</v>
      </c>
      <c r="R48" s="573"/>
      <c r="S48" s="49">
        <v>0.31805555555555548</v>
      </c>
      <c r="T48" s="49">
        <v>0.38749999999999996</v>
      </c>
      <c r="U48" s="266">
        <f t="shared" si="38"/>
        <v>6.9999999999999751</v>
      </c>
      <c r="V48" s="272">
        <f t="shared" si="37"/>
        <v>100.00000000000004</v>
      </c>
      <c r="W48" s="25"/>
      <c r="X48" s="25"/>
      <c r="Y48" s="28"/>
      <c r="Z48" s="28"/>
      <c r="AA48" s="575"/>
      <c r="AB48" s="575"/>
      <c r="AC48" s="27"/>
      <c r="AD48" s="27"/>
      <c r="AE48" s="20">
        <f t="shared" si="8"/>
        <v>-80.000000000000909</v>
      </c>
      <c r="AF48" s="267">
        <f t="shared" si="9"/>
        <v>0.95999999999999952</v>
      </c>
      <c r="AG48" s="573"/>
    </row>
    <row r="49" spans="1:33" ht="15.75" customHeight="1">
      <c r="A49" s="582" t="s">
        <v>1521</v>
      </c>
      <c r="B49" s="39" t="s">
        <v>79</v>
      </c>
      <c r="C49" s="260" t="s">
        <v>1233</v>
      </c>
      <c r="D49" s="261"/>
      <c r="E49" s="39">
        <v>46</v>
      </c>
      <c r="F49" s="45">
        <v>4554</v>
      </c>
      <c r="G49" s="266">
        <f t="shared" si="35"/>
        <v>209484</v>
      </c>
      <c r="H49" s="48" t="s">
        <v>126</v>
      </c>
      <c r="I49" s="271">
        <v>16</v>
      </c>
      <c r="J49" s="43">
        <v>2000</v>
      </c>
      <c r="K49" s="18">
        <f t="shared" si="1"/>
        <v>125</v>
      </c>
      <c r="L49" s="271">
        <v>16</v>
      </c>
      <c r="M49" s="19">
        <f t="shared" si="39"/>
        <v>1910.7692307692312</v>
      </c>
      <c r="N49" s="19">
        <f t="shared" si="3"/>
        <v>119.42307692307695</v>
      </c>
      <c r="O49" s="20">
        <f t="shared" si="4"/>
        <v>0</v>
      </c>
      <c r="P49" s="21">
        <f t="shared" si="5"/>
        <v>-5.5769230769230518</v>
      </c>
      <c r="Q49" s="267">
        <f t="shared" si="6"/>
        <v>0.95538461538461561</v>
      </c>
      <c r="R49" s="573"/>
      <c r="S49" s="49">
        <v>0.39166666666666661</v>
      </c>
      <c r="T49" s="49">
        <v>0.49097222222222214</v>
      </c>
      <c r="U49" s="266">
        <f t="shared" si="38"/>
        <v>5.9999999999999787</v>
      </c>
      <c r="V49" s="272">
        <f t="shared" si="37"/>
        <v>142.99999999999997</v>
      </c>
      <c r="W49" s="25">
        <f>T49</f>
        <v>0.49097222222222214</v>
      </c>
      <c r="X49" s="25">
        <f>S50</f>
        <v>0.53124999999999989</v>
      </c>
      <c r="Y49" s="28"/>
      <c r="Z49" s="28"/>
      <c r="AA49" s="575"/>
      <c r="AB49" s="575"/>
      <c r="AC49" s="27"/>
      <c r="AD49" s="27"/>
      <c r="AE49" s="20">
        <f t="shared" si="8"/>
        <v>-89.230769230768828</v>
      </c>
      <c r="AF49" s="267">
        <f t="shared" si="9"/>
        <v>0.95538461538461561</v>
      </c>
      <c r="AG49" s="573"/>
    </row>
    <row r="50" spans="1:33" ht="15.75" customHeight="1">
      <c r="A50" s="582" t="s">
        <v>1521</v>
      </c>
      <c r="B50" s="39" t="s">
        <v>74</v>
      </c>
      <c r="C50" s="566" t="s">
        <v>88</v>
      </c>
      <c r="D50" s="567"/>
      <c r="E50" s="39">
        <v>59.04</v>
      </c>
      <c r="F50" s="45">
        <v>1846</v>
      </c>
      <c r="G50" s="266">
        <f t="shared" si="35"/>
        <v>108987.84</v>
      </c>
      <c r="H50" s="48" t="s">
        <v>126</v>
      </c>
      <c r="I50" s="271">
        <v>19</v>
      </c>
      <c r="J50" s="43">
        <v>2000</v>
      </c>
      <c r="K50" s="18">
        <f t="shared" si="1"/>
        <v>105.26315789473684</v>
      </c>
      <c r="L50" s="271">
        <v>19</v>
      </c>
      <c r="M50" s="19">
        <f t="shared" si="39"/>
        <v>1909.6551724137946</v>
      </c>
      <c r="N50" s="19">
        <f t="shared" si="3"/>
        <v>100.50816696914708</v>
      </c>
      <c r="O50" s="20">
        <f t="shared" si="4"/>
        <v>0</v>
      </c>
      <c r="P50" s="21">
        <f t="shared" si="5"/>
        <v>-4.7549909255897518</v>
      </c>
      <c r="Q50" s="267">
        <f t="shared" si="6"/>
        <v>0.95482758620689734</v>
      </c>
      <c r="R50" s="573"/>
      <c r="S50" s="49">
        <v>0.53124999999999989</v>
      </c>
      <c r="T50" s="49">
        <v>0.57152777777777763</v>
      </c>
      <c r="U50" s="266">
        <f t="shared" si="38"/>
        <v>57.999999999999957</v>
      </c>
      <c r="V50" s="272">
        <f t="shared" si="37"/>
        <v>57.999999999999957</v>
      </c>
      <c r="W50" s="25"/>
      <c r="X50" s="25"/>
      <c r="Y50" s="28"/>
      <c r="Z50" s="28"/>
      <c r="AA50" s="568"/>
      <c r="AB50" s="569"/>
      <c r="AC50" s="27"/>
      <c r="AD50" s="27"/>
      <c r="AE50" s="20">
        <f t="shared" si="8"/>
        <v>-90.344827586205383</v>
      </c>
      <c r="AF50" s="267">
        <f t="shared" si="9"/>
        <v>0.95482758620689734</v>
      </c>
      <c r="AG50" s="573"/>
    </row>
    <row r="51" spans="1:33" ht="15.75" customHeight="1">
      <c r="A51" s="582" t="s">
        <v>1521</v>
      </c>
      <c r="B51" s="39" t="s">
        <v>74</v>
      </c>
      <c r="C51" s="566" t="s">
        <v>113</v>
      </c>
      <c r="D51" s="567"/>
      <c r="E51" s="39">
        <v>55.56</v>
      </c>
      <c r="F51" s="45">
        <v>1671</v>
      </c>
      <c r="G51" s="266">
        <f t="shared" si="35"/>
        <v>92840.760000000009</v>
      </c>
      <c r="H51" s="48" t="s">
        <v>126</v>
      </c>
      <c r="I51" s="271">
        <v>17</v>
      </c>
      <c r="J51" s="43">
        <v>2000</v>
      </c>
      <c r="K51" s="18">
        <f t="shared" si="1"/>
        <v>117.64705882352941</v>
      </c>
      <c r="L51" s="271">
        <v>17</v>
      </c>
      <c r="M51" s="19">
        <f t="shared" si="39"/>
        <v>1928.076923076924</v>
      </c>
      <c r="N51" s="19">
        <f t="shared" si="3"/>
        <v>113.41628959276024</v>
      </c>
      <c r="O51" s="20">
        <f t="shared" si="4"/>
        <v>0</v>
      </c>
      <c r="P51" s="21">
        <f t="shared" si="5"/>
        <v>-4.2307692307691696</v>
      </c>
      <c r="Q51" s="267">
        <f t="shared" si="6"/>
        <v>0.96403846153846207</v>
      </c>
      <c r="R51" s="573"/>
      <c r="S51" s="49">
        <v>0.70833333333333337</v>
      </c>
      <c r="T51" s="49">
        <v>0.74444444444444446</v>
      </c>
      <c r="U51" s="266" t="str">
        <f t="shared" si="38"/>
        <v/>
      </c>
      <c r="V51" s="272">
        <f t="shared" si="37"/>
        <v>51.999999999999972</v>
      </c>
      <c r="W51" s="25"/>
      <c r="X51" s="25"/>
      <c r="Y51" s="28"/>
      <c r="Z51" s="28"/>
      <c r="AA51" s="568"/>
      <c r="AB51" s="569"/>
      <c r="AC51" s="27"/>
      <c r="AD51" s="27"/>
      <c r="AE51" s="20">
        <f t="shared" si="8"/>
        <v>-71.923076923075996</v>
      </c>
      <c r="AF51" s="267">
        <f t="shared" si="9"/>
        <v>0.96403846153846195</v>
      </c>
      <c r="AG51" s="573"/>
    </row>
    <row r="52" spans="1:33" ht="15.75" customHeight="1">
      <c r="A52" s="582" t="s">
        <v>1521</v>
      </c>
      <c r="B52" s="39" t="s">
        <v>74</v>
      </c>
      <c r="C52" s="566" t="s">
        <v>114</v>
      </c>
      <c r="D52" s="567"/>
      <c r="E52" s="39">
        <v>54.29</v>
      </c>
      <c r="F52" s="45">
        <v>826</v>
      </c>
      <c r="G52" s="266">
        <f t="shared" si="35"/>
        <v>44843.54</v>
      </c>
      <c r="H52" s="48" t="s">
        <v>126</v>
      </c>
      <c r="I52" s="271">
        <v>20</v>
      </c>
      <c r="J52" s="43">
        <v>2000</v>
      </c>
      <c r="K52" s="18">
        <f t="shared" si="1"/>
        <v>100</v>
      </c>
      <c r="L52" s="271">
        <v>20</v>
      </c>
      <c r="M52" s="19">
        <f t="shared" si="39"/>
        <v>1906.1538461538412</v>
      </c>
      <c r="N52" s="19">
        <f t="shared" si="3"/>
        <v>95.307692307692065</v>
      </c>
      <c r="O52" s="20">
        <f t="shared" si="4"/>
        <v>0</v>
      </c>
      <c r="P52" s="21">
        <f t="shared" si="5"/>
        <v>-4.692307692307935</v>
      </c>
      <c r="Q52" s="267">
        <f t="shared" si="6"/>
        <v>0.9530769230769206</v>
      </c>
      <c r="R52" s="573"/>
      <c r="S52" s="49">
        <v>0.74930555555555556</v>
      </c>
      <c r="T52" s="49">
        <v>0.76736111111111116</v>
      </c>
      <c r="U52" s="266">
        <f t="shared" si="38"/>
        <v>6.9999999999999751</v>
      </c>
      <c r="V52" s="272">
        <f t="shared" si="37"/>
        <v>26.000000000000068</v>
      </c>
      <c r="W52" s="25"/>
      <c r="X52" s="25"/>
      <c r="Y52" s="28"/>
      <c r="Z52" s="28"/>
      <c r="AA52" s="568"/>
      <c r="AB52" s="569"/>
      <c r="AC52" s="27"/>
      <c r="AD52" s="27"/>
      <c r="AE52" s="20">
        <f t="shared" si="8"/>
        <v>-93.846153846158813</v>
      </c>
      <c r="AF52" s="267">
        <f t="shared" si="9"/>
        <v>0.9530769230769206</v>
      </c>
      <c r="AG52" s="573"/>
    </row>
    <row r="53" spans="1:33">
      <c r="A53" s="583" t="s">
        <v>1521</v>
      </c>
      <c r="B53" s="39" t="s">
        <v>1514</v>
      </c>
      <c r="C53" s="576"/>
      <c r="D53" s="576"/>
      <c r="E53" s="268"/>
      <c r="F53" s="42"/>
      <c r="G53" s="18"/>
      <c r="H53" s="273"/>
      <c r="I53" s="32">
        <v>19.25</v>
      </c>
      <c r="J53" s="43">
        <v>2000</v>
      </c>
      <c r="K53" s="18">
        <f t="shared" si="1"/>
        <v>103.8961038961039</v>
      </c>
      <c r="L53" s="32">
        <v>19.25</v>
      </c>
      <c r="M53" s="19">
        <f>AVERAGE(M45:M52)</f>
        <v>1914.1371999439839</v>
      </c>
      <c r="N53" s="18">
        <f t="shared" si="3"/>
        <v>99.435698698388777</v>
      </c>
      <c r="O53" s="20">
        <f t="shared" si="4"/>
        <v>0</v>
      </c>
      <c r="P53" s="21">
        <f t="shared" si="5"/>
        <v>-4.4604051977151187</v>
      </c>
      <c r="Q53" s="267">
        <f t="shared" si="6"/>
        <v>0.95706859997199201</v>
      </c>
      <c r="R53" s="573"/>
      <c r="S53" s="49"/>
      <c r="T53" s="49"/>
      <c r="U53" s="266"/>
      <c r="V53" s="272"/>
      <c r="W53" s="18"/>
      <c r="X53" s="18"/>
      <c r="Y53" s="33">
        <f>SUM(Y45:Y52)</f>
        <v>0</v>
      </c>
      <c r="Z53" s="33">
        <f>SUM(Z45:Z52)</f>
        <v>0</v>
      </c>
      <c r="AA53" s="572"/>
      <c r="AB53" s="572"/>
      <c r="AC53" s="33">
        <v>8</v>
      </c>
      <c r="AD53" s="33">
        <f>SUM(AD45:AD52)</f>
        <v>0</v>
      </c>
      <c r="AE53" s="20">
        <f>M53-J53</f>
        <v>-85.862800056016113</v>
      </c>
      <c r="AF53" s="267">
        <f t="shared" si="9"/>
        <v>0.9570685999719919</v>
      </c>
      <c r="AG53" s="573"/>
    </row>
    <row r="54" spans="1:33" ht="15.75" customHeight="1">
      <c r="A54" s="580" t="s">
        <v>1522</v>
      </c>
      <c r="B54" s="273" t="s">
        <v>104</v>
      </c>
      <c r="C54" s="574" t="s">
        <v>115</v>
      </c>
      <c r="D54" s="574"/>
      <c r="E54" s="39">
        <v>34.36</v>
      </c>
      <c r="F54" s="45">
        <v>2222</v>
      </c>
      <c r="G54" s="266">
        <f t="shared" ref="G54:G59" si="40">E54*F54</f>
        <v>76347.92</v>
      </c>
      <c r="H54" s="48" t="s">
        <v>126</v>
      </c>
      <c r="I54" s="271">
        <v>10</v>
      </c>
      <c r="J54" s="43">
        <v>3000</v>
      </c>
      <c r="K54" s="18">
        <f t="shared" si="1"/>
        <v>300</v>
      </c>
      <c r="L54" s="271">
        <v>10</v>
      </c>
      <c r="M54" s="19">
        <f t="shared" ref="M54:M59" si="41">F54/V54*60</f>
        <v>2898.260869565217</v>
      </c>
      <c r="N54" s="18">
        <f t="shared" si="3"/>
        <v>289.82608695652169</v>
      </c>
      <c r="O54" s="20">
        <f t="shared" si="4"/>
        <v>0</v>
      </c>
      <c r="P54" s="21">
        <f t="shared" si="5"/>
        <v>-10.173913043478308</v>
      </c>
      <c r="Q54" s="267">
        <f t="shared" si="6"/>
        <v>0.96608695652173893</v>
      </c>
      <c r="R54" s="573">
        <f>Q60</f>
        <v>0.96146274405532295</v>
      </c>
      <c r="S54" s="49">
        <v>0.20833333333333334</v>
      </c>
      <c r="T54" s="49">
        <v>0.24027777777777778</v>
      </c>
      <c r="U54" s="266"/>
      <c r="V54" s="272">
        <f t="shared" ref="V54:V59" si="42">(T54-S54)*24*60</f>
        <v>46</v>
      </c>
      <c r="W54" s="30"/>
      <c r="X54" s="30"/>
      <c r="Y54" s="30"/>
      <c r="Z54" s="30"/>
      <c r="AA54" s="575"/>
      <c r="AB54" s="575"/>
      <c r="AC54" s="27">
        <v>6</v>
      </c>
      <c r="AD54" s="27"/>
      <c r="AE54" s="20">
        <f t="shared" ref="AE54:AE69" si="43">M54-J54</f>
        <v>-101.73913043478296</v>
      </c>
      <c r="AF54" s="267">
        <f t="shared" si="9"/>
        <v>0.96608695652173904</v>
      </c>
      <c r="AG54" s="573">
        <f>AF60</f>
        <v>0.96146274405532295</v>
      </c>
    </row>
    <row r="55" spans="1:33" ht="15.75" customHeight="1">
      <c r="A55" s="580" t="s">
        <v>1522</v>
      </c>
      <c r="B55" s="273" t="s">
        <v>104</v>
      </c>
      <c r="C55" s="574" t="s">
        <v>116</v>
      </c>
      <c r="D55" s="574"/>
      <c r="E55" s="39">
        <v>34.36</v>
      </c>
      <c r="F55" s="45">
        <v>1153</v>
      </c>
      <c r="G55" s="266">
        <f t="shared" si="40"/>
        <v>39617.08</v>
      </c>
      <c r="H55" s="48" t="s">
        <v>126</v>
      </c>
      <c r="I55" s="271">
        <v>10</v>
      </c>
      <c r="J55" s="43">
        <v>3000</v>
      </c>
      <c r="K55" s="18">
        <f t="shared" si="1"/>
        <v>300</v>
      </c>
      <c r="L55" s="271">
        <v>10</v>
      </c>
      <c r="M55" s="19">
        <f t="shared" si="41"/>
        <v>2882.5000000000009</v>
      </c>
      <c r="N55" s="18">
        <f t="shared" si="3"/>
        <v>288.25000000000011</v>
      </c>
      <c r="O55" s="20">
        <f t="shared" si="4"/>
        <v>0</v>
      </c>
      <c r="P55" s="21">
        <f t="shared" si="5"/>
        <v>-11.749999999999886</v>
      </c>
      <c r="Q55" s="267">
        <f t="shared" si="6"/>
        <v>0.96083333333333376</v>
      </c>
      <c r="R55" s="573"/>
      <c r="S55" s="49">
        <v>0.24444444444444446</v>
      </c>
      <c r="T55" s="49">
        <v>0.26111111111111113</v>
      </c>
      <c r="U55" s="266">
        <f t="shared" ref="U55:U59" si="44">(S55-T54)*24*60</f>
        <v>6.0000000000000187</v>
      </c>
      <c r="V55" s="272">
        <f t="shared" si="42"/>
        <v>23.999999999999993</v>
      </c>
      <c r="W55" s="266"/>
      <c r="X55" s="266"/>
      <c r="Y55" s="266"/>
      <c r="Z55" s="266"/>
      <c r="AA55" s="575"/>
      <c r="AB55" s="575"/>
      <c r="AC55" s="27"/>
      <c r="AD55" s="27"/>
      <c r="AE55" s="20">
        <f t="shared" si="43"/>
        <v>-117.49999999999909</v>
      </c>
      <c r="AF55" s="267">
        <f t="shared" si="9"/>
        <v>0.96083333333333365</v>
      </c>
      <c r="AG55" s="573"/>
    </row>
    <row r="56" spans="1:33" ht="15.75" customHeight="1">
      <c r="A56" s="580" t="s">
        <v>1522</v>
      </c>
      <c r="B56" s="273" t="s">
        <v>104</v>
      </c>
      <c r="C56" s="574" t="s">
        <v>117</v>
      </c>
      <c r="D56" s="574"/>
      <c r="E56" s="39">
        <v>26.78</v>
      </c>
      <c r="F56" s="45">
        <v>2465</v>
      </c>
      <c r="G56" s="266">
        <f t="shared" si="40"/>
        <v>66012.7</v>
      </c>
      <c r="H56" s="48" t="s">
        <v>126</v>
      </c>
      <c r="I56" s="271">
        <v>10</v>
      </c>
      <c r="J56" s="43">
        <v>3000</v>
      </c>
      <c r="K56" s="18">
        <f t="shared" si="1"/>
        <v>300</v>
      </c>
      <c r="L56" s="271">
        <v>10</v>
      </c>
      <c r="M56" s="19">
        <f t="shared" si="41"/>
        <v>2900.0000000000014</v>
      </c>
      <c r="N56" s="18">
        <f t="shared" si="3"/>
        <v>290.00000000000011</v>
      </c>
      <c r="O56" s="20">
        <f t="shared" si="4"/>
        <v>0</v>
      </c>
      <c r="P56" s="21">
        <f t="shared" si="5"/>
        <v>-9.9999999999998863</v>
      </c>
      <c r="Q56" s="267">
        <f t="shared" si="6"/>
        <v>0.96666666666666701</v>
      </c>
      <c r="R56" s="573"/>
      <c r="S56" s="49">
        <v>0.26666666666666666</v>
      </c>
      <c r="T56" s="49">
        <v>0.30208333333333331</v>
      </c>
      <c r="U56" s="266">
        <f t="shared" si="44"/>
        <v>7.9999999999999716</v>
      </c>
      <c r="V56" s="272">
        <f t="shared" si="42"/>
        <v>50.999999999999979</v>
      </c>
      <c r="W56" s="266"/>
      <c r="X56" s="266"/>
      <c r="Y56" s="266"/>
      <c r="Z56" s="266"/>
      <c r="AA56" s="575"/>
      <c r="AB56" s="575"/>
      <c r="AC56" s="27"/>
      <c r="AD56" s="27"/>
      <c r="AE56" s="20">
        <f t="shared" si="43"/>
        <v>-99.999999999998636</v>
      </c>
      <c r="AF56" s="267">
        <f t="shared" si="9"/>
        <v>0.96666666666666712</v>
      </c>
      <c r="AG56" s="573"/>
    </row>
    <row r="57" spans="1:33" ht="15.75" customHeight="1">
      <c r="A57" s="580" t="s">
        <v>1522</v>
      </c>
      <c r="B57" s="273" t="s">
        <v>104</v>
      </c>
      <c r="C57" s="574" t="s">
        <v>118</v>
      </c>
      <c r="D57" s="574"/>
      <c r="E57" s="39">
        <v>37.880000000000003</v>
      </c>
      <c r="F57" s="45">
        <v>1385</v>
      </c>
      <c r="G57" s="266">
        <f t="shared" si="40"/>
        <v>52463.8</v>
      </c>
      <c r="H57" s="48" t="s">
        <v>126</v>
      </c>
      <c r="I57" s="271">
        <v>10</v>
      </c>
      <c r="J57" s="43">
        <v>3000</v>
      </c>
      <c r="K57" s="18">
        <f t="shared" si="1"/>
        <v>300</v>
      </c>
      <c r="L57" s="271">
        <v>10</v>
      </c>
      <c r="M57" s="19">
        <f t="shared" si="41"/>
        <v>2865.5172413793125</v>
      </c>
      <c r="N57" s="18">
        <f t="shared" si="3"/>
        <v>286.55172413793127</v>
      </c>
      <c r="O57" s="20">
        <f t="shared" si="4"/>
        <v>0</v>
      </c>
      <c r="P57" s="21">
        <f t="shared" si="5"/>
        <v>-13.448275862068726</v>
      </c>
      <c r="Q57" s="267">
        <f t="shared" si="6"/>
        <v>0.95517241379310425</v>
      </c>
      <c r="R57" s="573"/>
      <c r="S57" s="49">
        <v>0.30555555555555552</v>
      </c>
      <c r="T57" s="49">
        <v>0.3256944444444444</v>
      </c>
      <c r="U57" s="266">
        <f t="shared" si="44"/>
        <v>4.9999999999999822</v>
      </c>
      <c r="V57" s="272">
        <f t="shared" si="42"/>
        <v>28.999999999999979</v>
      </c>
      <c r="W57" s="266"/>
      <c r="X57" s="266"/>
      <c r="Y57" s="266"/>
      <c r="Z57" s="266"/>
      <c r="AA57" s="575"/>
      <c r="AB57" s="575"/>
      <c r="AC57" s="27"/>
      <c r="AD57" s="27"/>
      <c r="AE57" s="20">
        <f t="shared" si="43"/>
        <v>-134.48275862068749</v>
      </c>
      <c r="AF57" s="267">
        <f t="shared" si="9"/>
        <v>0.95517241379310414</v>
      </c>
      <c r="AG57" s="573"/>
    </row>
    <row r="58" spans="1:33">
      <c r="A58" s="581" t="s">
        <v>1522</v>
      </c>
      <c r="B58" s="273" t="s">
        <v>104</v>
      </c>
      <c r="C58" s="574" t="s">
        <v>119</v>
      </c>
      <c r="D58" s="574"/>
      <c r="E58" s="39">
        <v>35.869999999999997</v>
      </c>
      <c r="F58" s="45">
        <v>3725</v>
      </c>
      <c r="G58" s="266">
        <f t="shared" si="40"/>
        <v>133615.75</v>
      </c>
      <c r="H58" s="48" t="s">
        <v>126</v>
      </c>
      <c r="I58" s="271">
        <v>9</v>
      </c>
      <c r="J58" s="43">
        <v>3000</v>
      </c>
      <c r="K58" s="18">
        <f t="shared" si="1"/>
        <v>333.33333333333331</v>
      </c>
      <c r="L58" s="271">
        <v>9</v>
      </c>
      <c r="M58" s="19">
        <f t="shared" si="41"/>
        <v>2865.3846153846134</v>
      </c>
      <c r="N58" s="18">
        <f t="shared" si="3"/>
        <v>318.37606837606813</v>
      </c>
      <c r="O58" s="20">
        <f t="shared" si="4"/>
        <v>0</v>
      </c>
      <c r="P58" s="21">
        <f t="shared" si="5"/>
        <v>-14.957264957265181</v>
      </c>
      <c r="Q58" s="267">
        <f t="shared" si="6"/>
        <v>0.9551282051282044</v>
      </c>
      <c r="R58" s="573"/>
      <c r="S58" s="49">
        <v>0.33124999999999993</v>
      </c>
      <c r="T58" s="49">
        <v>0.38541666666666663</v>
      </c>
      <c r="U58" s="266">
        <f t="shared" si="44"/>
        <v>7.9999999999999716</v>
      </c>
      <c r="V58" s="272">
        <f t="shared" si="42"/>
        <v>78.000000000000043</v>
      </c>
      <c r="W58" s="25"/>
      <c r="X58" s="25"/>
      <c r="Y58" s="25"/>
      <c r="Z58" s="25"/>
      <c r="AA58" s="575"/>
      <c r="AB58" s="575"/>
      <c r="AC58" s="27"/>
      <c r="AD58" s="27"/>
      <c r="AE58" s="20">
        <f t="shared" si="43"/>
        <v>-134.61538461538657</v>
      </c>
      <c r="AF58" s="267">
        <f t="shared" si="9"/>
        <v>0.95512820512820451</v>
      </c>
      <c r="AG58" s="573"/>
    </row>
    <row r="59" spans="1:33" ht="15" customHeight="1">
      <c r="A59" s="581" t="s">
        <v>1522</v>
      </c>
      <c r="B59" s="273" t="s">
        <v>104</v>
      </c>
      <c r="C59" s="566" t="s">
        <v>120</v>
      </c>
      <c r="D59" s="567"/>
      <c r="E59" s="39">
        <v>34.35</v>
      </c>
      <c r="F59" s="45">
        <v>2171</v>
      </c>
      <c r="G59" s="266">
        <f t="shared" si="40"/>
        <v>74573.850000000006</v>
      </c>
      <c r="H59" s="48" t="s">
        <v>126</v>
      </c>
      <c r="I59" s="271">
        <v>8</v>
      </c>
      <c r="J59" s="43">
        <v>3000</v>
      </c>
      <c r="K59" s="18">
        <f t="shared" si="1"/>
        <v>375</v>
      </c>
      <c r="L59" s="271">
        <v>8</v>
      </c>
      <c r="M59" s="19">
        <f t="shared" si="41"/>
        <v>2894.666666666667</v>
      </c>
      <c r="N59" s="18">
        <f t="shared" si="3"/>
        <v>361.83333333333337</v>
      </c>
      <c r="O59" s="20">
        <f t="shared" si="4"/>
        <v>0</v>
      </c>
      <c r="P59" s="21">
        <f t="shared" si="5"/>
        <v>-13.166666666666629</v>
      </c>
      <c r="Q59" s="267">
        <f t="shared" si="6"/>
        <v>0.96488888888888902</v>
      </c>
      <c r="R59" s="573"/>
      <c r="S59" s="49">
        <v>0.38958333333333328</v>
      </c>
      <c r="T59" s="49">
        <v>0.42083333333333328</v>
      </c>
      <c r="U59" s="266">
        <f t="shared" si="44"/>
        <v>5.9999999999999787</v>
      </c>
      <c r="V59" s="272">
        <f t="shared" si="42"/>
        <v>45</v>
      </c>
      <c r="W59" s="266"/>
      <c r="X59" s="266"/>
      <c r="Y59" s="262"/>
      <c r="Z59" s="262"/>
      <c r="AA59" s="568"/>
      <c r="AB59" s="569"/>
      <c r="AC59" s="27"/>
      <c r="AD59" s="27"/>
      <c r="AE59" s="20">
        <f t="shared" si="43"/>
        <v>-105.33333333333303</v>
      </c>
      <c r="AF59" s="267">
        <f t="shared" si="9"/>
        <v>0.96488888888888902</v>
      </c>
      <c r="AG59" s="573"/>
    </row>
    <row r="60" spans="1:33">
      <c r="A60" s="581" t="s">
        <v>1522</v>
      </c>
      <c r="B60" s="39" t="s">
        <v>1514</v>
      </c>
      <c r="C60" s="576"/>
      <c r="D60" s="576"/>
      <c r="E60" s="268"/>
      <c r="F60" s="42"/>
      <c r="G60" s="18"/>
      <c r="H60" s="273"/>
      <c r="I60" s="32">
        <v>9.5</v>
      </c>
      <c r="J60" s="43">
        <v>3000</v>
      </c>
      <c r="K60" s="18">
        <f t="shared" si="1"/>
        <v>315.78947368421052</v>
      </c>
      <c r="L60" s="32">
        <v>9.5</v>
      </c>
      <c r="M60" s="19">
        <f>AVERAGE(M54:M59)</f>
        <v>2884.3882321659689</v>
      </c>
      <c r="N60" s="18">
        <f t="shared" si="3"/>
        <v>303.61981391220723</v>
      </c>
      <c r="O60" s="20">
        <f t="shared" si="4"/>
        <v>0</v>
      </c>
      <c r="P60" s="21">
        <f t="shared" si="5"/>
        <v>-12.169659772003286</v>
      </c>
      <c r="Q60" s="267">
        <f t="shared" si="6"/>
        <v>0.96146274405532295</v>
      </c>
      <c r="R60" s="573"/>
      <c r="S60" s="49"/>
      <c r="T60" s="49"/>
      <c r="U60" s="18"/>
      <c r="V60" s="272"/>
      <c r="W60" s="18"/>
      <c r="X60" s="18"/>
      <c r="Y60" s="33">
        <f>SUM(Y54:Y59)</f>
        <v>0</v>
      </c>
      <c r="Z60" s="33">
        <f>SUM(Z54:Z59)</f>
        <v>0</v>
      </c>
      <c r="AA60" s="572"/>
      <c r="AB60" s="572"/>
      <c r="AC60" s="33">
        <v>6</v>
      </c>
      <c r="AD60" s="33">
        <f>SUM(AD54:AD59)</f>
        <v>0</v>
      </c>
      <c r="AE60" s="20">
        <f t="shared" si="43"/>
        <v>-115.61176783403107</v>
      </c>
      <c r="AF60" s="267">
        <f t="shared" si="9"/>
        <v>0.96146274405532295</v>
      </c>
      <c r="AG60" s="573"/>
    </row>
    <row r="61" spans="1:33" ht="15.75" customHeight="1">
      <c r="A61" s="577" t="s">
        <v>1523</v>
      </c>
      <c r="B61" s="273" t="s">
        <v>94</v>
      </c>
      <c r="C61" s="574" t="s">
        <v>124</v>
      </c>
      <c r="D61" s="574"/>
      <c r="E61" s="39">
        <v>22.69</v>
      </c>
      <c r="F61" s="273">
        <v>4582</v>
      </c>
      <c r="G61" s="266">
        <f t="shared" ref="G61:G68" si="45">E61*F61</f>
        <v>103965.58</v>
      </c>
      <c r="H61" s="48" t="s">
        <v>126</v>
      </c>
      <c r="I61" s="271">
        <v>15</v>
      </c>
      <c r="J61" s="43">
        <v>2400</v>
      </c>
      <c r="K61" s="18">
        <f t="shared" si="1"/>
        <v>160</v>
      </c>
      <c r="L61" s="271">
        <v>15</v>
      </c>
      <c r="M61" s="19">
        <f t="shared" ref="M61:M68" si="46">F61/V61*60</f>
        <v>2291</v>
      </c>
      <c r="N61" s="18">
        <f t="shared" si="3"/>
        <v>152.73333333333332</v>
      </c>
      <c r="O61" s="20">
        <f t="shared" si="4"/>
        <v>0</v>
      </c>
      <c r="P61" s="21">
        <f t="shared" si="5"/>
        <v>-7.2666666666666799</v>
      </c>
      <c r="Q61" s="267">
        <f t="shared" si="6"/>
        <v>0.95458333333333323</v>
      </c>
      <c r="R61" s="573">
        <f>Q69</f>
        <v>0.95629904132170207</v>
      </c>
      <c r="S61" s="49">
        <v>8.3333333333333329E-2</v>
      </c>
      <c r="T61" s="49">
        <v>0.16666666666666666</v>
      </c>
      <c r="U61" s="30"/>
      <c r="V61" s="272">
        <f t="shared" ref="V61:V68" si="47">(T61-S61)*24*60</f>
        <v>120</v>
      </c>
      <c r="W61" s="25">
        <f>T61</f>
        <v>0.16666666666666666</v>
      </c>
      <c r="X61" s="25">
        <f>S62</f>
        <v>0.18680555555555556</v>
      </c>
      <c r="Y61" s="25"/>
      <c r="Z61" s="25"/>
      <c r="AA61" s="575"/>
      <c r="AB61" s="575"/>
      <c r="AC61" s="27">
        <v>8</v>
      </c>
      <c r="AD61" s="27"/>
      <c r="AE61" s="20">
        <f t="shared" si="43"/>
        <v>-109</v>
      </c>
      <c r="AF61" s="267">
        <f t="shared" si="9"/>
        <v>0.95458333333333334</v>
      </c>
      <c r="AG61" s="573">
        <f>AF69</f>
        <v>0.95629904132170185</v>
      </c>
    </row>
    <row r="62" spans="1:33" ht="15.75" customHeight="1">
      <c r="A62" s="578" t="s">
        <v>1523</v>
      </c>
      <c r="B62" s="273" t="s">
        <v>94</v>
      </c>
      <c r="C62" s="574" t="s">
        <v>123</v>
      </c>
      <c r="D62" s="574"/>
      <c r="E62" s="39">
        <v>20.21</v>
      </c>
      <c r="F62" s="273">
        <v>3301</v>
      </c>
      <c r="G62" s="266">
        <f t="shared" si="45"/>
        <v>66713.210000000006</v>
      </c>
      <c r="H62" s="48" t="s">
        <v>126</v>
      </c>
      <c r="I62" s="271">
        <v>15</v>
      </c>
      <c r="J62" s="43">
        <v>2400</v>
      </c>
      <c r="K62" s="18">
        <f t="shared" si="1"/>
        <v>160</v>
      </c>
      <c r="L62" s="271">
        <v>15</v>
      </c>
      <c r="M62" s="19">
        <f t="shared" si="46"/>
        <v>2303.0232558139528</v>
      </c>
      <c r="N62" s="18">
        <f t="shared" si="3"/>
        <v>153.5348837209302</v>
      </c>
      <c r="O62" s="20">
        <f t="shared" si="4"/>
        <v>0</v>
      </c>
      <c r="P62" s="21">
        <f t="shared" si="5"/>
        <v>-6.4651162790698038</v>
      </c>
      <c r="Q62" s="267">
        <f t="shared" si="6"/>
        <v>0.95959302325581375</v>
      </c>
      <c r="R62" s="573"/>
      <c r="S62" s="49">
        <v>0.18680555555555556</v>
      </c>
      <c r="T62" s="49">
        <v>0.24652777777777779</v>
      </c>
      <c r="U62" s="266">
        <f t="shared" ref="U62:U68" si="48">(S62-T61)*24*60</f>
        <v>29.000000000000018</v>
      </c>
      <c r="V62" s="272">
        <f t="shared" si="47"/>
        <v>86.000000000000014</v>
      </c>
      <c r="W62" s="25"/>
      <c r="X62" s="25"/>
      <c r="Y62" s="25"/>
      <c r="Z62" s="25"/>
      <c r="AA62" s="575"/>
      <c r="AB62" s="575"/>
      <c r="AC62" s="27"/>
      <c r="AD62" s="27"/>
      <c r="AE62" s="20">
        <f t="shared" si="43"/>
        <v>-96.976744186047199</v>
      </c>
      <c r="AF62" s="267">
        <f t="shared" si="9"/>
        <v>0.95959302325581364</v>
      </c>
      <c r="AG62" s="573"/>
    </row>
    <row r="63" spans="1:33" ht="15.75" customHeight="1">
      <c r="A63" s="578" t="s">
        <v>1523</v>
      </c>
      <c r="B63" s="273" t="s">
        <v>94</v>
      </c>
      <c r="C63" s="574" t="s">
        <v>125</v>
      </c>
      <c r="D63" s="574"/>
      <c r="E63" s="39">
        <v>19.02</v>
      </c>
      <c r="F63" s="273">
        <v>5300</v>
      </c>
      <c r="G63" s="266">
        <f t="shared" si="45"/>
        <v>100806</v>
      </c>
      <c r="H63" s="48">
        <v>2</v>
      </c>
      <c r="I63" s="271">
        <v>14</v>
      </c>
      <c r="J63" s="43">
        <v>2400</v>
      </c>
      <c r="K63" s="18">
        <f t="shared" si="1"/>
        <v>171.42857142857142</v>
      </c>
      <c r="L63" s="271">
        <v>14</v>
      </c>
      <c r="M63" s="19">
        <f t="shared" si="46"/>
        <v>2287.7697841726617</v>
      </c>
      <c r="N63" s="18">
        <f t="shared" si="3"/>
        <v>163.41212744090441</v>
      </c>
      <c r="O63" s="20">
        <f t="shared" si="4"/>
        <v>0</v>
      </c>
      <c r="P63" s="21">
        <f t="shared" si="5"/>
        <v>-8.0164439876670031</v>
      </c>
      <c r="Q63" s="267">
        <f t="shared" si="6"/>
        <v>0.95323741007194251</v>
      </c>
      <c r="R63" s="573"/>
      <c r="S63" s="49">
        <v>0.25069444444444444</v>
      </c>
      <c r="T63" s="49">
        <v>0.34722222222222221</v>
      </c>
      <c r="U63" s="266">
        <f t="shared" si="48"/>
        <v>5.9999999999999787</v>
      </c>
      <c r="V63" s="272">
        <f t="shared" si="47"/>
        <v>139</v>
      </c>
      <c r="W63" s="25"/>
      <c r="X63" s="25"/>
      <c r="Y63" s="25"/>
      <c r="Z63" s="25"/>
      <c r="AA63" s="575"/>
      <c r="AB63" s="575"/>
      <c r="AC63" s="27"/>
      <c r="AD63" s="27"/>
      <c r="AE63" s="20">
        <f t="shared" si="43"/>
        <v>-112.23021582733827</v>
      </c>
      <c r="AF63" s="267">
        <f t="shared" si="9"/>
        <v>0.9532374100719424</v>
      </c>
      <c r="AG63" s="573"/>
    </row>
    <row r="64" spans="1:33" ht="15.75" customHeight="1">
      <c r="A64" s="578" t="s">
        <v>1523</v>
      </c>
      <c r="B64" s="273" t="s">
        <v>94</v>
      </c>
      <c r="C64" s="574" t="s">
        <v>99</v>
      </c>
      <c r="D64" s="574"/>
      <c r="E64" s="39">
        <v>20.36</v>
      </c>
      <c r="F64" s="273">
        <v>3600</v>
      </c>
      <c r="G64" s="266">
        <f t="shared" si="45"/>
        <v>73296</v>
      </c>
      <c r="H64" s="48">
        <v>2</v>
      </c>
      <c r="I64" s="271">
        <v>17</v>
      </c>
      <c r="J64" s="43">
        <v>2400</v>
      </c>
      <c r="K64" s="18">
        <f t="shared" si="1"/>
        <v>141.1764705882353</v>
      </c>
      <c r="L64" s="271">
        <v>17</v>
      </c>
      <c r="M64" s="19">
        <f t="shared" si="46"/>
        <v>2297.872340425532</v>
      </c>
      <c r="N64" s="18">
        <f t="shared" si="3"/>
        <v>135.16896120150187</v>
      </c>
      <c r="O64" s="20">
        <f t="shared" si="4"/>
        <v>0</v>
      </c>
      <c r="P64" s="21">
        <f t="shared" si="5"/>
        <v>-6.0075093867334317</v>
      </c>
      <c r="Q64" s="267">
        <f t="shared" si="6"/>
        <v>0.95744680851063824</v>
      </c>
      <c r="R64" s="573"/>
      <c r="S64" s="49">
        <v>0.3520833333333333</v>
      </c>
      <c r="T64" s="49">
        <v>0.41736111111111107</v>
      </c>
      <c r="U64" s="266">
        <f t="shared" si="48"/>
        <v>6.9999999999999751</v>
      </c>
      <c r="V64" s="272">
        <f t="shared" si="47"/>
        <v>93.999999999999986</v>
      </c>
      <c r="W64" s="25"/>
      <c r="X64" s="25"/>
      <c r="Y64" s="25"/>
      <c r="Z64" s="25"/>
      <c r="AA64" s="575"/>
      <c r="AB64" s="575"/>
      <c r="AC64" s="27"/>
      <c r="AD64" s="27"/>
      <c r="AE64" s="20">
        <f t="shared" si="43"/>
        <v>-102.127659574468</v>
      </c>
      <c r="AF64" s="267">
        <f t="shared" si="9"/>
        <v>0.95744680851063835</v>
      </c>
      <c r="AG64" s="573"/>
    </row>
    <row r="65" spans="1:33" ht="15.75" customHeight="1">
      <c r="A65" s="578" t="s">
        <v>1523</v>
      </c>
      <c r="B65" s="273" t="s">
        <v>94</v>
      </c>
      <c r="C65" s="574" t="s">
        <v>1231</v>
      </c>
      <c r="D65" s="574"/>
      <c r="E65" s="39">
        <v>25.99</v>
      </c>
      <c r="F65" s="273">
        <v>4600</v>
      </c>
      <c r="G65" s="266">
        <f t="shared" si="45"/>
        <v>119554</v>
      </c>
      <c r="H65" s="48">
        <v>2</v>
      </c>
      <c r="I65" s="271">
        <v>19</v>
      </c>
      <c r="J65" s="43">
        <v>2400</v>
      </c>
      <c r="K65" s="18">
        <f t="shared" si="1"/>
        <v>126.31578947368421</v>
      </c>
      <c r="L65" s="271">
        <v>19</v>
      </c>
      <c r="M65" s="19">
        <f t="shared" si="46"/>
        <v>2280.991735537189</v>
      </c>
      <c r="N65" s="18">
        <f t="shared" si="3"/>
        <v>120.05219660722048</v>
      </c>
      <c r="O65" s="20">
        <f t="shared" si="4"/>
        <v>0</v>
      </c>
      <c r="P65" s="21">
        <f t="shared" si="5"/>
        <v>-6.2635928664637248</v>
      </c>
      <c r="Q65" s="267">
        <f t="shared" si="6"/>
        <v>0.95041322314049548</v>
      </c>
      <c r="R65" s="573"/>
      <c r="S65" s="49">
        <v>0.42152777777777772</v>
      </c>
      <c r="T65" s="49">
        <v>0.50555555555555554</v>
      </c>
      <c r="U65" s="266">
        <f t="shared" si="48"/>
        <v>5.9999999999999787</v>
      </c>
      <c r="V65" s="272">
        <f t="shared" si="47"/>
        <v>121.00000000000006</v>
      </c>
      <c r="W65" s="25">
        <f>T65</f>
        <v>0.50555555555555554</v>
      </c>
      <c r="X65" s="25">
        <f>S66</f>
        <v>0.54583333333333328</v>
      </c>
      <c r="Y65" s="25"/>
      <c r="Z65" s="25"/>
      <c r="AA65" s="575"/>
      <c r="AB65" s="575"/>
      <c r="AC65" s="27"/>
      <c r="AD65" s="27"/>
      <c r="AE65" s="20">
        <f t="shared" si="43"/>
        <v>-119.00826446281098</v>
      </c>
      <c r="AF65" s="267">
        <f t="shared" si="9"/>
        <v>0.95041322314049548</v>
      </c>
      <c r="AG65" s="573"/>
    </row>
    <row r="66" spans="1:33" ht="15.75" customHeight="1">
      <c r="A66" s="578" t="s">
        <v>1523</v>
      </c>
      <c r="B66" s="273" t="s">
        <v>94</v>
      </c>
      <c r="C66" s="574" t="s">
        <v>1231</v>
      </c>
      <c r="D66" s="574"/>
      <c r="E66" s="39">
        <v>25.99</v>
      </c>
      <c r="F66" s="273">
        <v>2431</v>
      </c>
      <c r="G66" s="266">
        <f t="shared" si="45"/>
        <v>63181.689999999995</v>
      </c>
      <c r="H66" s="48" t="s">
        <v>126</v>
      </c>
      <c r="I66" s="271">
        <v>19</v>
      </c>
      <c r="J66" s="43">
        <v>2400</v>
      </c>
      <c r="K66" s="18">
        <f t="shared" si="1"/>
        <v>126.31578947368421</v>
      </c>
      <c r="L66" s="271">
        <v>19</v>
      </c>
      <c r="M66" s="19">
        <f t="shared" si="46"/>
        <v>2315.2380952380972</v>
      </c>
      <c r="N66" s="18">
        <f t="shared" si="3"/>
        <v>121.85463659147881</v>
      </c>
      <c r="O66" s="20">
        <f t="shared" si="4"/>
        <v>0</v>
      </c>
      <c r="P66" s="21">
        <f t="shared" si="5"/>
        <v>-4.461152882205397</v>
      </c>
      <c r="Q66" s="267">
        <f t="shared" si="6"/>
        <v>0.96468253968254059</v>
      </c>
      <c r="R66" s="573"/>
      <c r="S66" s="49">
        <v>0.54583333333333328</v>
      </c>
      <c r="T66" s="49">
        <v>0.58958333333333324</v>
      </c>
      <c r="U66" s="266">
        <f t="shared" si="48"/>
        <v>57.999999999999957</v>
      </c>
      <c r="V66" s="272">
        <f t="shared" si="47"/>
        <v>62.999999999999936</v>
      </c>
      <c r="W66" s="25"/>
      <c r="X66" s="25"/>
      <c r="Y66" s="25"/>
      <c r="Z66" s="25"/>
      <c r="AA66" s="575"/>
      <c r="AB66" s="575"/>
      <c r="AC66" s="27"/>
      <c r="AD66" s="27"/>
      <c r="AE66" s="20">
        <f t="shared" si="43"/>
        <v>-84.76190476190277</v>
      </c>
      <c r="AF66" s="267">
        <f t="shared" si="9"/>
        <v>0.96468253968254047</v>
      </c>
      <c r="AG66" s="573"/>
    </row>
    <row r="67" spans="1:33" ht="15.75" customHeight="1">
      <c r="A67" s="578" t="s">
        <v>1523</v>
      </c>
      <c r="B67" s="273" t="s">
        <v>94</v>
      </c>
      <c r="C67" s="566" t="s">
        <v>125</v>
      </c>
      <c r="D67" s="567"/>
      <c r="E67" s="39">
        <v>19.02</v>
      </c>
      <c r="F67" s="273">
        <v>3756</v>
      </c>
      <c r="G67" s="266">
        <f t="shared" si="45"/>
        <v>71439.12</v>
      </c>
      <c r="H67" s="48" t="s">
        <v>126</v>
      </c>
      <c r="I67" s="271">
        <v>14</v>
      </c>
      <c r="J67" s="43">
        <v>2400</v>
      </c>
      <c r="K67" s="18">
        <f t="shared" si="1"/>
        <v>171.42857142857142</v>
      </c>
      <c r="L67" s="271">
        <v>14</v>
      </c>
      <c r="M67" s="19">
        <f t="shared" si="46"/>
        <v>2299.5918367346944</v>
      </c>
      <c r="N67" s="18">
        <f t="shared" si="3"/>
        <v>164.2565597667639</v>
      </c>
      <c r="O67" s="20">
        <f t="shared" si="4"/>
        <v>0</v>
      </c>
      <c r="P67" s="21">
        <f t="shared" si="5"/>
        <v>-7.1720116618075167</v>
      </c>
      <c r="Q67" s="267">
        <f t="shared" si="6"/>
        <v>0.95816326530612284</v>
      </c>
      <c r="R67" s="573"/>
      <c r="S67" s="49">
        <v>0.59513888888888877</v>
      </c>
      <c r="T67" s="49">
        <v>0.66319444444444431</v>
      </c>
      <c r="U67" s="266">
        <f t="shared" si="48"/>
        <v>7.9999999999999716</v>
      </c>
      <c r="V67" s="272">
        <f t="shared" si="47"/>
        <v>97.999999999999972</v>
      </c>
      <c r="W67" s="25"/>
      <c r="X67" s="25"/>
      <c r="Y67" s="28"/>
      <c r="Z67" s="28"/>
      <c r="AA67" s="568"/>
      <c r="AB67" s="569"/>
      <c r="AC67" s="27"/>
      <c r="AD67" s="27"/>
      <c r="AE67" s="20">
        <f t="shared" si="43"/>
        <v>-100.40816326530557</v>
      </c>
      <c r="AF67" s="267">
        <f t="shared" si="9"/>
        <v>0.95816326530612272</v>
      </c>
      <c r="AG67" s="573"/>
    </row>
    <row r="68" spans="1:33" ht="15.75" customHeight="1">
      <c r="A68" s="578" t="s">
        <v>1523</v>
      </c>
      <c r="B68" s="273" t="s">
        <v>94</v>
      </c>
      <c r="C68" s="566" t="s">
        <v>99</v>
      </c>
      <c r="D68" s="567"/>
      <c r="E68" s="39">
        <v>20.36</v>
      </c>
      <c r="F68" s="273">
        <v>2514</v>
      </c>
      <c r="G68" s="266">
        <f t="shared" si="45"/>
        <v>51185.04</v>
      </c>
      <c r="H68" s="48" t="s">
        <v>126</v>
      </c>
      <c r="I68" s="271">
        <v>17</v>
      </c>
      <c r="J68" s="43">
        <v>2400</v>
      </c>
      <c r="K68" s="18">
        <f t="shared" si="1"/>
        <v>141.1764705882353</v>
      </c>
      <c r="L68" s="271">
        <v>17</v>
      </c>
      <c r="M68" s="19">
        <f t="shared" si="46"/>
        <v>2285.4545454545478</v>
      </c>
      <c r="N68" s="18">
        <f t="shared" si="3"/>
        <v>134.43850267379693</v>
      </c>
      <c r="O68" s="20">
        <f t="shared" si="4"/>
        <v>0</v>
      </c>
      <c r="P68" s="21">
        <f t="shared" si="5"/>
        <v>-6.7379679144383715</v>
      </c>
      <c r="Q68" s="267">
        <f t="shared" si="6"/>
        <v>0.95227272727272816</v>
      </c>
      <c r="R68" s="573"/>
      <c r="S68" s="49">
        <v>0.66874999999999984</v>
      </c>
      <c r="T68" s="49">
        <v>0.71458333333333313</v>
      </c>
      <c r="U68" s="266">
        <f t="shared" si="48"/>
        <v>7.9999999999999716</v>
      </c>
      <c r="V68" s="272">
        <f t="shared" si="47"/>
        <v>65.999999999999929</v>
      </c>
      <c r="W68" s="25"/>
      <c r="X68" s="25"/>
      <c r="Y68" s="28"/>
      <c r="Z68" s="28"/>
      <c r="AA68" s="568"/>
      <c r="AB68" s="569"/>
      <c r="AC68" s="27"/>
      <c r="AD68" s="27"/>
      <c r="AE68" s="20">
        <f t="shared" si="43"/>
        <v>-114.54545454545223</v>
      </c>
      <c r="AF68" s="267">
        <f t="shared" si="9"/>
        <v>0.95227272727272827</v>
      </c>
      <c r="AG68" s="573"/>
    </row>
    <row r="69" spans="1:33" ht="16.5" customHeight="1">
      <c r="A69" s="579" t="s">
        <v>1523</v>
      </c>
      <c r="B69" s="39" t="s">
        <v>1514</v>
      </c>
      <c r="C69" s="570"/>
      <c r="D69" s="571"/>
      <c r="E69" s="268"/>
      <c r="F69" s="42"/>
      <c r="G69" s="18"/>
      <c r="H69" s="273"/>
      <c r="I69" s="32">
        <v>16.25</v>
      </c>
      <c r="J69" s="43">
        <v>2400</v>
      </c>
      <c r="K69" s="18">
        <f t="shared" ref="K69" si="49">J69/I69</f>
        <v>147.69230769230768</v>
      </c>
      <c r="L69" s="32">
        <v>16.25</v>
      </c>
      <c r="M69" s="19">
        <f>AVERAGE(M61:M68)</f>
        <v>2295.1176991720845</v>
      </c>
      <c r="N69" s="18">
        <f t="shared" ref="N69" si="50">M69/L69</f>
        <v>141.23801225674367</v>
      </c>
      <c r="O69" s="20">
        <f t="shared" ref="O69" si="51">L69-I69</f>
        <v>0</v>
      </c>
      <c r="P69" s="21">
        <f t="shared" ref="P69" si="52">N69-K69</f>
        <v>-6.4542954355640063</v>
      </c>
      <c r="Q69" s="267">
        <f t="shared" ref="Q69" si="53">N69/K69</f>
        <v>0.95629904132170207</v>
      </c>
      <c r="R69" s="573"/>
      <c r="S69" s="49"/>
      <c r="T69" s="49"/>
      <c r="U69" s="18"/>
      <c r="V69" s="272"/>
      <c r="W69" s="18"/>
      <c r="X69" s="18"/>
      <c r="Y69" s="33">
        <f>SUM(Y61:Y68)</f>
        <v>0</v>
      </c>
      <c r="Z69" s="33">
        <f>SUM(Z61:Z68)</f>
        <v>0</v>
      </c>
      <c r="AA69" s="572"/>
      <c r="AB69" s="572"/>
      <c r="AC69" s="33">
        <v>8</v>
      </c>
      <c r="AD69" s="33">
        <f>SUM(AD61:AD68)</f>
        <v>0</v>
      </c>
      <c r="AE69" s="20">
        <f t="shared" si="43"/>
        <v>-104.88230082791551</v>
      </c>
      <c r="AF69" s="267">
        <f t="shared" ref="AF69" si="54">M69/J69</f>
        <v>0.95629904132170185</v>
      </c>
      <c r="AG69" s="573"/>
    </row>
    <row r="70" spans="1:33">
      <c r="D70" s="35"/>
      <c r="E70" s="35"/>
    </row>
  </sheetData>
  <mergeCells count="189">
    <mergeCell ref="A61:A69"/>
    <mergeCell ref="C61:D61"/>
    <mergeCell ref="R61:R69"/>
    <mergeCell ref="AA61:AB61"/>
    <mergeCell ref="AG61:AG69"/>
    <mergeCell ref="C62:D62"/>
    <mergeCell ref="AA62:AB62"/>
    <mergeCell ref="C63:D63"/>
    <mergeCell ref="AA63:AB63"/>
    <mergeCell ref="C64:D64"/>
    <mergeCell ref="C68:D68"/>
    <mergeCell ref="AA68:AB68"/>
    <mergeCell ref="C69:D69"/>
    <mergeCell ref="AA69:AB69"/>
    <mergeCell ref="AA64:AB64"/>
    <mergeCell ref="C65:D65"/>
    <mergeCell ref="AA65:AB65"/>
    <mergeCell ref="C66:D66"/>
    <mergeCell ref="AA66:AB66"/>
    <mergeCell ref="C67:D67"/>
    <mergeCell ref="AA67:AB67"/>
    <mergeCell ref="AG54:AG60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C59:D59"/>
    <mergeCell ref="A45:A53"/>
    <mergeCell ref="C45:D45"/>
    <mergeCell ref="R45:R53"/>
    <mergeCell ref="AA45:AB45"/>
    <mergeCell ref="C53:D53"/>
    <mergeCell ref="AA53:AB53"/>
    <mergeCell ref="A54:A60"/>
    <mergeCell ref="C54:D54"/>
    <mergeCell ref="R54:R60"/>
    <mergeCell ref="AA54:AB54"/>
    <mergeCell ref="AA59:AB59"/>
    <mergeCell ref="C60:D60"/>
    <mergeCell ref="AA60:AB60"/>
    <mergeCell ref="AG45:AG53"/>
    <mergeCell ref="C46:D46"/>
    <mergeCell ref="AA46:AB46"/>
    <mergeCell ref="C47:D47"/>
    <mergeCell ref="AA47:AB47"/>
    <mergeCell ref="AA48:AB48"/>
    <mergeCell ref="AG40:AG44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AA49:AB49"/>
    <mergeCell ref="C50:D50"/>
    <mergeCell ref="AA50:AB50"/>
    <mergeCell ref="C51:D51"/>
    <mergeCell ref="AA51:AB51"/>
    <mergeCell ref="C52:D52"/>
    <mergeCell ref="AA52:AB52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A40:A44"/>
    <mergeCell ref="C40:D40"/>
    <mergeCell ref="R40:R44"/>
    <mergeCell ref="AA40:AB40"/>
    <mergeCell ref="C36:D36"/>
    <mergeCell ref="AA36:AB36"/>
    <mergeCell ref="C37:D37"/>
    <mergeCell ref="AA37:AB37"/>
    <mergeCell ref="C38:D38"/>
    <mergeCell ref="AA38:AB38"/>
    <mergeCell ref="A33:A39"/>
    <mergeCell ref="C33:D33"/>
    <mergeCell ref="R33:R39"/>
    <mergeCell ref="AA33:AB33"/>
    <mergeCell ref="AG33:AG39"/>
    <mergeCell ref="C34:D34"/>
    <mergeCell ref="AA34:AB34"/>
    <mergeCell ref="C35:D35"/>
    <mergeCell ref="AA35:AB35"/>
    <mergeCell ref="C39:D39"/>
    <mergeCell ref="AA39:AB39"/>
    <mergeCell ref="A17:A23"/>
    <mergeCell ref="C17:D17"/>
    <mergeCell ref="R17:R23"/>
    <mergeCell ref="AA17:AB17"/>
    <mergeCell ref="C23:D23"/>
    <mergeCell ref="AA23:AB23"/>
    <mergeCell ref="A24:A32"/>
    <mergeCell ref="C24:D24"/>
    <mergeCell ref="R24:R32"/>
    <mergeCell ref="AA24:AB24"/>
    <mergeCell ref="AA29:AB29"/>
    <mergeCell ref="C30:D30"/>
    <mergeCell ref="AA30:AB30"/>
    <mergeCell ref="C32:D32"/>
    <mergeCell ref="AA32:AB32"/>
    <mergeCell ref="AG24:AG32"/>
    <mergeCell ref="C25:D25"/>
    <mergeCell ref="A13:A16"/>
    <mergeCell ref="C13:D13"/>
    <mergeCell ref="R13:R16"/>
    <mergeCell ref="AA13:AB13"/>
    <mergeCell ref="AG13:AG16"/>
    <mergeCell ref="C14:D14"/>
    <mergeCell ref="AA14:AB14"/>
    <mergeCell ref="C15:D15"/>
    <mergeCell ref="AA15:AB15"/>
    <mergeCell ref="C16:D16"/>
    <mergeCell ref="AA16:AB16"/>
    <mergeCell ref="AA11:AB11"/>
    <mergeCell ref="C12:D12"/>
    <mergeCell ref="AA12:AB12"/>
    <mergeCell ref="C7:D7"/>
    <mergeCell ref="AA7:AB7"/>
    <mergeCell ref="C8:D8"/>
    <mergeCell ref="AA8:AB8"/>
    <mergeCell ref="AG17:AG23"/>
    <mergeCell ref="C18:D18"/>
    <mergeCell ref="AA18:AB18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AA9:AB9"/>
    <mergeCell ref="AG9:AG12"/>
    <mergeCell ref="C10:D10"/>
    <mergeCell ref="AA10:AB10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C3:D4"/>
    <mergeCell ref="E3:E4"/>
    <mergeCell ref="F3:F4"/>
    <mergeCell ref="G3:G4"/>
    <mergeCell ref="A9:A12"/>
    <mergeCell ref="C9:D9"/>
    <mergeCell ref="R9:R12"/>
    <mergeCell ref="C11:D11"/>
    <mergeCell ref="I1:K2"/>
    <mergeCell ref="L1:N2"/>
    <mergeCell ref="O1:R2"/>
    <mergeCell ref="A5:A8"/>
    <mergeCell ref="C5:D5"/>
    <mergeCell ref="R5:R8"/>
    <mergeCell ref="A3:A4"/>
    <mergeCell ref="B3:B4"/>
    <mergeCell ref="S1:X2"/>
    <mergeCell ref="AA1:AB2"/>
    <mergeCell ref="AE1:AG2"/>
    <mergeCell ref="R3:R4"/>
    <mergeCell ref="S3:T3"/>
    <mergeCell ref="H3:H4"/>
    <mergeCell ref="I3:I4"/>
    <mergeCell ref="J3:J4"/>
    <mergeCell ref="K3:K4"/>
    <mergeCell ref="L3:L4"/>
    <mergeCell ref="M3:M4"/>
    <mergeCell ref="AE3:AE4"/>
    <mergeCell ref="AF3:AF4"/>
    <mergeCell ref="AG3:AG4"/>
  </mergeCells>
  <phoneticPr fontId="3" type="noConversion"/>
  <conditionalFormatting sqref="O57:O66 O53:O54 O69 O5:O9 O12:O14 O16:O50">
    <cfRule type="cellIs" dxfId="835" priority="51" operator="greaterThan">
      <formula>0</formula>
    </cfRule>
  </conditionalFormatting>
  <conditionalFormatting sqref="P5:P7 P57:P59 AE57:AE59 P61:P66 P24:P31 P54 P9 P12:P14 P17:P22 P45:P50 P33:P43 AE5:AE54 AE61:AE69">
    <cfRule type="cellIs" dxfId="834" priority="55" operator="lessThan">
      <formula>0</formula>
    </cfRule>
  </conditionalFormatting>
  <conditionalFormatting sqref="AF57:AF59 Q57:Q66 Q53:Q54 Q69 Q5:Q9 Q12:Q14 Q16:Q50 AF5:AF54 AF61:AF69">
    <cfRule type="cellIs" dxfId="833" priority="52" operator="greaterThan">
      <formula>1</formula>
    </cfRule>
    <cfRule type="cellIs" dxfId="832" priority="53" operator="lessThan">
      <formula>0.8</formula>
    </cfRule>
  </conditionalFormatting>
  <conditionalFormatting sqref="AG13:AG14 R13:R14 AG57 R57:R66 AG53:AG54 R53:R54 R69 AG5:AG9 R5:R9 AG16:AG50 R16:R50">
    <cfRule type="cellIs" dxfId="831" priority="57" operator="lessThan">
      <formula>0.8</formula>
    </cfRule>
  </conditionalFormatting>
  <conditionalFormatting sqref="AG40">
    <cfRule type="cellIs" dxfId="830" priority="59" operator="lessThan">
      <formula>0.8</formula>
    </cfRule>
  </conditionalFormatting>
  <conditionalFormatting sqref="AG17:AG22">
    <cfRule type="cellIs" dxfId="829" priority="56" operator="lessThan">
      <formula>0.8</formula>
    </cfRule>
  </conditionalFormatting>
  <conditionalFormatting sqref="AG24">
    <cfRule type="cellIs" dxfId="828" priority="58" operator="lessThan">
      <formula>0.8</formula>
    </cfRule>
  </conditionalFormatting>
  <conditionalFormatting sqref="AG33:AG38">
    <cfRule type="cellIs" dxfId="827" priority="54" operator="lessThan">
      <formula>0.8</formula>
    </cfRule>
  </conditionalFormatting>
  <conditionalFormatting sqref="AE60">
    <cfRule type="cellIs" dxfId="826" priority="50" operator="lessThan">
      <formula>0</formula>
    </cfRule>
  </conditionalFormatting>
  <conditionalFormatting sqref="AF60">
    <cfRule type="cellIs" dxfId="825" priority="48" operator="greaterThan">
      <formula>1</formula>
    </cfRule>
    <cfRule type="cellIs" dxfId="824" priority="49" operator="lessThan">
      <formula>0.8</formula>
    </cfRule>
  </conditionalFormatting>
  <conditionalFormatting sqref="O15">
    <cfRule type="cellIs" dxfId="823" priority="43" operator="greaterThan">
      <formula>0</formula>
    </cfRule>
  </conditionalFormatting>
  <conditionalFormatting sqref="P15">
    <cfRule type="cellIs" dxfId="822" priority="46" operator="lessThan">
      <formula>0</formula>
    </cfRule>
  </conditionalFormatting>
  <conditionalFormatting sqref="Q15">
    <cfRule type="cellIs" dxfId="821" priority="44" operator="greaterThan">
      <formula>1</formula>
    </cfRule>
    <cfRule type="cellIs" dxfId="820" priority="45" operator="lessThan">
      <formula>0.8</formula>
    </cfRule>
  </conditionalFormatting>
  <conditionalFormatting sqref="R15 AG15">
    <cfRule type="cellIs" dxfId="819" priority="47" operator="lessThan">
      <formula>0.8</formula>
    </cfRule>
  </conditionalFormatting>
  <conditionalFormatting sqref="O10:O11">
    <cfRule type="cellIs" dxfId="818" priority="39" operator="greaterThan">
      <formula>0</formula>
    </cfRule>
  </conditionalFormatting>
  <conditionalFormatting sqref="P10:P11">
    <cfRule type="cellIs" dxfId="817" priority="42" operator="lessThan">
      <formula>0</formula>
    </cfRule>
  </conditionalFormatting>
  <conditionalFormatting sqref="Q10:Q11">
    <cfRule type="cellIs" dxfId="816" priority="40" operator="greaterThan">
      <formula>1</formula>
    </cfRule>
    <cfRule type="cellIs" dxfId="815" priority="41" operator="lessThan">
      <formula>0.8</formula>
    </cfRule>
  </conditionalFormatting>
  <conditionalFormatting sqref="O51">
    <cfRule type="cellIs" dxfId="814" priority="34" operator="greaterThan">
      <formula>0</formula>
    </cfRule>
  </conditionalFormatting>
  <conditionalFormatting sqref="P51">
    <cfRule type="cellIs" dxfId="813" priority="37" operator="lessThan">
      <formula>0</formula>
    </cfRule>
  </conditionalFormatting>
  <conditionalFormatting sqref="Q51">
    <cfRule type="cellIs" dxfId="812" priority="35" operator="greaterThan">
      <formula>1</formula>
    </cfRule>
    <cfRule type="cellIs" dxfId="811" priority="36" operator="lessThan">
      <formula>0.8</formula>
    </cfRule>
  </conditionalFormatting>
  <conditionalFormatting sqref="R51 AG51">
    <cfRule type="cellIs" dxfId="810" priority="38" operator="lessThan">
      <formula>0.8</formula>
    </cfRule>
  </conditionalFormatting>
  <conditionalFormatting sqref="O56">
    <cfRule type="cellIs" dxfId="809" priority="29" operator="greaterThan">
      <formula>0</formula>
    </cfRule>
  </conditionalFormatting>
  <conditionalFormatting sqref="P56 AE56">
    <cfRule type="cellIs" dxfId="808" priority="32" operator="lessThan">
      <formula>0</formula>
    </cfRule>
  </conditionalFormatting>
  <conditionalFormatting sqref="Q56 AF56">
    <cfRule type="cellIs" dxfId="807" priority="30" operator="greaterThan">
      <formula>1</formula>
    </cfRule>
    <cfRule type="cellIs" dxfId="806" priority="31" operator="lessThan">
      <formula>0.8</formula>
    </cfRule>
  </conditionalFormatting>
  <conditionalFormatting sqref="R56 AG56">
    <cfRule type="cellIs" dxfId="805" priority="33" operator="lessThan">
      <formula>0.8</formula>
    </cfRule>
  </conditionalFormatting>
  <conditionalFormatting sqref="O67">
    <cfRule type="cellIs" dxfId="804" priority="24" operator="greaterThan">
      <formula>0</formula>
    </cfRule>
  </conditionalFormatting>
  <conditionalFormatting sqref="P67">
    <cfRule type="cellIs" dxfId="803" priority="27" operator="lessThan">
      <formula>0</formula>
    </cfRule>
  </conditionalFormatting>
  <conditionalFormatting sqref="Q67">
    <cfRule type="cellIs" dxfId="802" priority="25" operator="greaterThan">
      <formula>1</formula>
    </cfRule>
    <cfRule type="cellIs" dxfId="801" priority="26" operator="lessThan">
      <formula>0.8</formula>
    </cfRule>
  </conditionalFormatting>
  <conditionalFormatting sqref="R67">
    <cfRule type="cellIs" dxfId="800" priority="28" operator="lessThan">
      <formula>0.8</formula>
    </cfRule>
  </conditionalFormatting>
  <conditionalFormatting sqref="O52">
    <cfRule type="cellIs" dxfId="799" priority="19" operator="greaterThan">
      <formula>0</formula>
    </cfRule>
  </conditionalFormatting>
  <conditionalFormatting sqref="P52">
    <cfRule type="cellIs" dxfId="798" priority="22" operator="lessThan">
      <formula>0</formula>
    </cfRule>
  </conditionalFormatting>
  <conditionalFormatting sqref="Q52">
    <cfRule type="cellIs" dxfId="797" priority="20" operator="greaterThan">
      <formula>1</formula>
    </cfRule>
    <cfRule type="cellIs" dxfId="796" priority="21" operator="lessThan">
      <formula>0.8</formula>
    </cfRule>
  </conditionalFormatting>
  <conditionalFormatting sqref="AG52 R52">
    <cfRule type="cellIs" dxfId="795" priority="23" operator="lessThan">
      <formula>0.8</formula>
    </cfRule>
  </conditionalFormatting>
  <conditionalFormatting sqref="O55">
    <cfRule type="cellIs" dxfId="794" priority="14" operator="greaterThan">
      <formula>0</formula>
    </cfRule>
  </conditionalFormatting>
  <conditionalFormatting sqref="P55 AE55">
    <cfRule type="cellIs" dxfId="793" priority="17" operator="lessThan">
      <formula>0</formula>
    </cfRule>
  </conditionalFormatting>
  <conditionalFormatting sqref="Q55 AF55">
    <cfRule type="cellIs" dxfId="792" priority="15" operator="greaterThan">
      <formula>1</formula>
    </cfRule>
    <cfRule type="cellIs" dxfId="791" priority="16" operator="lessThan">
      <formula>0.8</formula>
    </cfRule>
  </conditionalFormatting>
  <conditionalFormatting sqref="R55 AG55">
    <cfRule type="cellIs" dxfId="790" priority="18" operator="lessThan">
      <formula>0.8</formula>
    </cfRule>
  </conditionalFormatting>
  <conditionalFormatting sqref="P8">
    <cfRule type="cellIs" dxfId="789" priority="13" operator="lessThan">
      <formula>0</formula>
    </cfRule>
  </conditionalFormatting>
  <conditionalFormatting sqref="P16">
    <cfRule type="cellIs" dxfId="788" priority="12" operator="lessThan">
      <formula>0</formula>
    </cfRule>
  </conditionalFormatting>
  <conditionalFormatting sqref="P23">
    <cfRule type="cellIs" dxfId="787" priority="11" operator="lessThan">
      <formula>0</formula>
    </cfRule>
  </conditionalFormatting>
  <conditionalFormatting sqref="P32">
    <cfRule type="cellIs" dxfId="786" priority="10" operator="lessThan">
      <formula>0</formula>
    </cfRule>
  </conditionalFormatting>
  <conditionalFormatting sqref="P44">
    <cfRule type="cellIs" dxfId="785" priority="9" operator="lessThan">
      <formula>0</formula>
    </cfRule>
  </conditionalFormatting>
  <conditionalFormatting sqref="P53">
    <cfRule type="cellIs" dxfId="784" priority="8" operator="lessThan">
      <formula>0</formula>
    </cfRule>
  </conditionalFormatting>
  <conditionalFormatting sqref="P60">
    <cfRule type="cellIs" dxfId="783" priority="7" operator="lessThan">
      <formula>0</formula>
    </cfRule>
  </conditionalFormatting>
  <conditionalFormatting sqref="P69">
    <cfRule type="cellIs" dxfId="782" priority="6" operator="lessThan">
      <formula>0</formula>
    </cfRule>
  </conditionalFormatting>
  <conditionalFormatting sqref="O68">
    <cfRule type="cellIs" dxfId="781" priority="1" operator="greaterThan">
      <formula>0</formula>
    </cfRule>
  </conditionalFormatting>
  <conditionalFormatting sqref="P68">
    <cfRule type="cellIs" dxfId="780" priority="4" operator="lessThan">
      <formula>0</formula>
    </cfRule>
  </conditionalFormatting>
  <conditionalFormatting sqref="Q68">
    <cfRule type="cellIs" dxfId="779" priority="2" operator="greaterThan">
      <formula>1</formula>
    </cfRule>
    <cfRule type="cellIs" dxfId="778" priority="3" operator="lessThan">
      <formula>0.8</formula>
    </cfRule>
  </conditionalFormatting>
  <conditionalFormatting sqref="R68">
    <cfRule type="cellIs" dxfId="777" priority="5" operator="lessThan">
      <formula>0.8</formula>
    </cfRule>
  </conditionalFormatting>
  <dataValidations count="1">
    <dataValidation type="list" allowBlank="1" showInputMessage="1" showErrorMessage="1" sqref="AB8 AA5:AB7 AB58:AB59 AA8:AA59 AB10:AB54 AA60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7" sqref="E7:F7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1289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1290</v>
      </c>
      <c r="C3" s="555" t="str">
        <f>TEXT('0513 4度C'!A2,"yyyy.mm.ddaaaa")</f>
        <v>2026.05.13星期三</v>
      </c>
      <c r="D3" s="556"/>
      <c r="E3" s="54" t="s">
        <v>1291</v>
      </c>
      <c r="F3" s="557">
        <f>'0513 4度C'!D1</f>
        <v>177085</v>
      </c>
      <c r="G3" s="558"/>
      <c r="H3" s="54" t="s">
        <v>1292</v>
      </c>
      <c r="I3" s="559">
        <f>'0513 4度C'!F1</f>
        <v>6044013.9499999993</v>
      </c>
      <c r="J3" s="560"/>
      <c r="K3" s="55"/>
      <c r="L3" s="56"/>
      <c r="M3" s="57"/>
      <c r="N3" s="57"/>
    </row>
    <row r="4" spans="2:17" ht="28.5" customHeight="1">
      <c r="B4" s="561" t="s">
        <v>1293</v>
      </c>
      <c r="C4" s="547" t="s">
        <v>1294</v>
      </c>
      <c r="D4" s="548"/>
      <c r="E4" s="564" t="s">
        <v>1295</v>
      </c>
      <c r="F4" s="565"/>
      <c r="G4" s="564" t="s">
        <v>1296</v>
      </c>
      <c r="H4" s="565"/>
      <c r="I4" s="564" t="s">
        <v>1297</v>
      </c>
      <c r="J4" s="565"/>
      <c r="K4" s="545" t="s">
        <v>1298</v>
      </c>
      <c r="L4" s="546"/>
      <c r="M4" s="546" t="s">
        <v>1299</v>
      </c>
      <c r="N4" s="546"/>
    </row>
    <row r="5" spans="2:17" ht="28.5" customHeight="1">
      <c r="B5" s="562"/>
      <c r="C5" s="547" t="s">
        <v>1300</v>
      </c>
      <c r="D5" s="548"/>
      <c r="E5" s="547" t="s">
        <v>1301</v>
      </c>
      <c r="F5" s="548"/>
      <c r="G5" s="549" t="s">
        <v>1302</v>
      </c>
      <c r="H5" s="550"/>
      <c r="I5" s="551" t="s">
        <v>1303</v>
      </c>
      <c r="J5" s="552"/>
      <c r="K5" s="58" t="s">
        <v>1304</v>
      </c>
      <c r="L5" s="59" t="s">
        <v>1305</v>
      </c>
      <c r="M5" s="58" t="s">
        <v>1306</v>
      </c>
      <c r="N5" s="59" t="s">
        <v>1307</v>
      </c>
    </row>
    <row r="6" spans="2:17" ht="28.5" customHeight="1">
      <c r="B6" s="562"/>
      <c r="C6" s="547" t="s">
        <v>145</v>
      </c>
      <c r="D6" s="548"/>
      <c r="E6" s="539">
        <f>AVERAGE(D13:M13)</f>
        <v>151.35968011733411</v>
      </c>
      <c r="F6" s="540">
        <f>AVERAGE(D31:O31,D13:J13)</f>
        <v>158.43865640979053</v>
      </c>
      <c r="G6" s="541">
        <f>AVERAGE(D13:J13)</f>
        <v>158.43865640979053</v>
      </c>
      <c r="H6" s="542"/>
      <c r="I6" s="541">
        <f>AVERAGE(K13:M13)</f>
        <v>134.84206876826917</v>
      </c>
      <c r="J6" s="542"/>
      <c r="K6" s="543">
        <f>'0513 4度C'!Y2</f>
        <v>0</v>
      </c>
      <c r="L6" s="528">
        <f>'0513 4度C'!Z2</f>
        <v>0</v>
      </c>
      <c r="M6" s="544">
        <f>'0513 4度C'!AC2</f>
        <v>58</v>
      </c>
      <c r="N6" s="528">
        <f>'0513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145.06895706635518</v>
      </c>
      <c r="F7" s="532">
        <f>AVERAGE(D32:O32,D14:J14)</f>
        <v>152.03939319314054</v>
      </c>
      <c r="G7" s="533">
        <f>AVERAGE(D14:J14)</f>
        <v>152.03939319314054</v>
      </c>
      <c r="H7" s="534"/>
      <c r="I7" s="533">
        <f>AVERAGE(K14:M14)</f>
        <v>128.804606103856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0.95779341352962566</v>
      </c>
      <c r="F8" s="536">
        <f>AVERAGE(D15:J15,D33:O33)</f>
        <v>0.95889951215644087</v>
      </c>
      <c r="G8" s="537">
        <f>AVERAGE(D15:J15)</f>
        <v>0.95889951215644087</v>
      </c>
      <c r="H8" s="538"/>
      <c r="I8" s="537">
        <f>AVERAGE(K15:M15)</f>
        <v>0.95521251673372365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1308</v>
      </c>
      <c r="N9" s="57"/>
      <c r="O9" s="57"/>
      <c r="P9" s="57"/>
      <c r="Q9" s="57"/>
    </row>
    <row r="10" spans="2:17" ht="30" customHeight="1">
      <c r="B10" s="511" t="s">
        <v>1309</v>
      </c>
      <c r="C10" s="512"/>
      <c r="D10" s="513" t="s">
        <v>1310</v>
      </c>
      <c r="E10" s="514"/>
      <c r="F10" s="514"/>
      <c r="G10" s="514"/>
      <c r="H10" s="514"/>
      <c r="I10" s="514"/>
      <c r="J10" s="515"/>
      <c r="K10" s="516" t="s">
        <v>151</v>
      </c>
      <c r="L10" s="517"/>
      <c r="M10" s="518"/>
      <c r="P10" s="63"/>
      <c r="Q10" s="63"/>
    </row>
    <row r="11" spans="2:17" ht="17.25" customHeight="1">
      <c r="B11" s="519" t="s">
        <v>1311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1312</v>
      </c>
      <c r="C13" s="70" t="s">
        <v>1313</v>
      </c>
      <c r="D13" s="71">
        <f>SUMIFS('0513 4度C'!$K:$K,'0513 4度C'!$A:$A,"新豐6線",'0513 4度C'!$B:$B,"平均")</f>
        <v>125</v>
      </c>
      <c r="E13" s="72">
        <f>SUMIFS('0513 4度C'!$K:$K,'0513 4度C'!$A:$A,"新豐2線",'0513 4度C'!$B:$B,"平均")</f>
        <v>84.905660377358487</v>
      </c>
      <c r="F13" s="73">
        <f>SUMIFS('0513 4度C'!$K:$K,'0513 4度C'!$A:$A,"新豐5線",'0513 4度C'!$B:$B,"平均")</f>
        <v>100</v>
      </c>
      <c r="G13" s="73">
        <f>SUMIFS('0513 4度C'!$K:$K,'0513 4度C'!$A:$A,"新豐7線",'0513 4度C'!$B:$B,"平均")</f>
        <v>121.05263157894737</v>
      </c>
      <c r="H13" s="73">
        <f>SUMIFS('0513 4度C'!$K:$K,'0513 4度C'!$A:$A,"新豐3線",'0513 4度C'!$B:$B,"平均")</f>
        <v>255.81395348837211</v>
      </c>
      <c r="I13" s="73">
        <f>SUMIFS('0513 4度C'!$K:$K,'0513 4度C'!$A:$A,"新豐1線",'0513 4度C'!$B:$B,"平均")</f>
        <v>106.50887573964496</v>
      </c>
      <c r="J13" s="74">
        <f>SUMIFS('0513 4度C'!$K:$K,'0513 4度C'!$A:$A,"新豐10線",'0513 4度C'!$B:$B,"平均")</f>
        <v>315.78947368421052</v>
      </c>
      <c r="K13" s="75">
        <f>SUMIFS('0513 4度C'!$K:$K,'0513 4度C'!$A:$A,"新豐8線",'0513 4度C'!$B:$B,"平均")</f>
        <v>138.12949640287769</v>
      </c>
      <c r="L13" s="76">
        <f>SUMIFS('0513 4度C'!$K:$K,'0513 4度C'!$A:$A,"新豐9線",'0513 4度C'!$B:$B,"平均")</f>
        <v>117.43119266055047</v>
      </c>
      <c r="M13" s="74">
        <f>SUMIFS('0513 4度C'!$K:$K,'0513 4度C'!$A:$A,"新豐4線",'0513 4度C'!$B:$B,"平均")</f>
        <v>148.9655172413793</v>
      </c>
    </row>
    <row r="14" spans="2:17" ht="39.6" customHeight="1">
      <c r="B14" s="524"/>
      <c r="C14" s="77" t="s">
        <v>1314</v>
      </c>
      <c r="D14" s="78">
        <f>SUMIFS('0513 4度C'!$N:$N,'0513 4度C'!$A:$A,"新豐6線",'0513 4度C'!$B:$B,"平均")</f>
        <v>119.72284312389264</v>
      </c>
      <c r="E14" s="79">
        <f>SUMIFS('0513 4度C'!$N:$N,'0513 4度C'!$A:$A,"新豐2線",'0513 4度C'!$B:$B,"平均")</f>
        <v>81.120554645490287</v>
      </c>
      <c r="F14" s="79">
        <f>SUMIFS('0513 4度C'!$N:$N,'0513 4度C'!$A:$A,"新豐5線",'0513 4度C'!$B:$B,"平均")</f>
        <v>96.56876859270848</v>
      </c>
      <c r="G14" s="79">
        <f>SUMIFS('0513 4度C'!$N:$N,'0513 4度C'!$A:$A,"新豐7線",'0513 4度C'!$B:$B,"平均")</f>
        <v>115.91847160268965</v>
      </c>
      <c r="H14" s="79">
        <f>SUMIFS('0513 4度C'!$N:$N,'0513 4度C'!$A:$A,"新豐3線",'0513 4度C'!$B:$B,"平均")</f>
        <v>244.17566946662944</v>
      </c>
      <c r="I14" s="79">
        <f>SUMIFS('0513 4度C'!$N:$N,'0513 4度C'!$A:$A,"新豐1線",'0513 4度C'!$B:$B,"平均")</f>
        <v>101.76601857771739</v>
      </c>
      <c r="J14" s="80">
        <f>SUMIFS('0513 4度C'!$N:$N,'0513 4度C'!$A:$A,"新豐10線",'0513 4度C'!$B:$B,"平均")</f>
        <v>305.00342634285585</v>
      </c>
      <c r="K14" s="81">
        <f>SUMIFS('0513 4度C'!$N:$N,'0513 4度C'!$A:$A,"新豐8線",'0513 4度C'!$B:$B,"平均")</f>
        <v>132.10693851036282</v>
      </c>
      <c r="L14" s="82">
        <f>SUMIFS('0513 4度C'!$N:$N,'0513 4度C'!$A:$A,"新豐9線",'0513 4度C'!$B:$B,"平均")</f>
        <v>112.10403861605263</v>
      </c>
      <c r="M14" s="80">
        <f>SUMIFS('0513 4度C'!$N:$N,'0513 4度C'!$A:$A,"新豐4線",'0513 4度C'!$B:$B,"平均")</f>
        <v>142.20284118515258</v>
      </c>
    </row>
    <row r="15" spans="2:17" ht="40.15" customHeight="1">
      <c r="B15" s="525"/>
      <c r="C15" s="83" t="s">
        <v>1315</v>
      </c>
      <c r="D15" s="84">
        <f t="shared" ref="D15:M15" si="0">D14/D13</f>
        <v>0.95778274499114113</v>
      </c>
      <c r="E15" s="85">
        <f t="shared" si="0"/>
        <v>0.95541986582466343</v>
      </c>
      <c r="F15" s="85">
        <f t="shared" si="0"/>
        <v>0.96568768592708476</v>
      </c>
      <c r="G15" s="85">
        <f t="shared" si="0"/>
        <v>0.95758737410917538</v>
      </c>
      <c r="H15" s="85">
        <f t="shared" si="0"/>
        <v>0.95450488973318781</v>
      </c>
      <c r="I15" s="85">
        <f t="shared" si="0"/>
        <v>0.95546984109079114</v>
      </c>
      <c r="J15" s="86">
        <f t="shared" si="0"/>
        <v>0.96584418341904354</v>
      </c>
      <c r="K15" s="84">
        <f t="shared" si="0"/>
        <v>0.95639919025731424</v>
      </c>
      <c r="L15" s="85">
        <f t="shared" si="0"/>
        <v>0.95463595383982314</v>
      </c>
      <c r="M15" s="86">
        <f t="shared" si="0"/>
        <v>0.95460240610403357</v>
      </c>
    </row>
    <row r="16" spans="2:17" ht="17.25" customHeight="1">
      <c r="B16" s="526" t="s">
        <v>1316</v>
      </c>
      <c r="C16" s="87" t="s">
        <v>1317</v>
      </c>
      <c r="D16" s="88">
        <f>VLOOKUP("新豐6線",'0513 4度C'!$A:$T,19,0)</f>
        <v>0.70833333333333337</v>
      </c>
      <c r="E16" s="89">
        <f>VLOOKUP("新豐2線",'0513 4度C'!$A:$T,19,0)</f>
        <v>0.20833333333333334</v>
      </c>
      <c r="F16" s="89">
        <f>VLOOKUP("新豐5線",'0513 4度C'!$A:$T,19,0)</f>
        <v>0.20833333333333334</v>
      </c>
      <c r="G16" s="89">
        <f>VLOOKUP("新豐7線",'0513 4度C'!$A:$T,19,0)</f>
        <v>0.20833333333333334</v>
      </c>
      <c r="H16" s="89">
        <f>VLOOKUP("新豐3線",'0513 4度C'!$A:$T,19,0)</f>
        <v>8.3333333333333329E-2</v>
      </c>
      <c r="I16" s="89">
        <f>VLOOKUP("新豐1線",'0513 4度C'!$A:$T,19,0)</f>
        <v>0.20833333333333334</v>
      </c>
      <c r="J16" s="90">
        <f>VLOOKUP("新豐10線",'0513 4度C'!$A:$T,19,0)</f>
        <v>0.20833333333333334</v>
      </c>
      <c r="K16" s="91">
        <f>VLOOKUP("新豐8線",'0513 4度C'!$A:$T,19,0)</f>
        <v>8.3333333333333329E-2</v>
      </c>
      <c r="L16" s="92">
        <f>VLOOKUP("新豐9線",'0513 4度C'!$A:$T,19,0)</f>
        <v>8.3333333333333329E-2</v>
      </c>
      <c r="M16" s="93">
        <f>VLOOKUP("新豐4線",'0513 4度C'!$A:$T,19,0)</f>
        <v>8.3333333333333329E-2</v>
      </c>
    </row>
    <row r="17" spans="2:13" ht="17.25" customHeight="1">
      <c r="B17" s="527"/>
      <c r="C17" s="87" t="s">
        <v>1318</v>
      </c>
      <c r="D17" s="91">
        <f>LOOKUP(2,1/(('0513 4度C'!$A:$A="新豐6線")*('0513 4度C'!$T:$T&lt;&gt;"")),'0513 4度C'!$T:$T)</f>
        <v>0.82916666666666661</v>
      </c>
      <c r="E17" s="89">
        <f>LOOKUP(2,1/(('0513 4度C'!$A:$A="新豐2線")*('0513 4度C'!$T:$T&lt;&gt;"")),'0513 4度C'!$T:$T)</f>
        <v>0.56458333333333333</v>
      </c>
      <c r="F17" s="89">
        <f>LOOKUP(2,1/(('0513 4度C'!$A:$A="新豐5線")*('0513 4度C'!$T:$T&lt;&gt;"")),'0513 4度C'!$T:$T)</f>
        <v>0.8125</v>
      </c>
      <c r="G17" s="89">
        <f>LOOKUP(2,1/(('0513 4度C'!$A:$A="新豐7線")*('0513 4度C'!$T:$T&lt;&gt;"")),'0513 4度C'!$T:$T)</f>
        <v>0.80902777777777779</v>
      </c>
      <c r="H17" s="89">
        <f>LOOKUP(2,1/(('0513 4度C'!$A:$A="新豐3線")*('0513 4度C'!$T:$T&lt;&gt;"")),'0513 4度C'!$T:$T)</f>
        <v>0.4368055555555555</v>
      </c>
      <c r="I17" s="89">
        <f>LOOKUP(2,1/(('0513 4度C'!$A:$A="新豐1線")*('0513 4度C'!$T:$T&lt;&gt;"")),'0513 4度C'!$T:$T)</f>
        <v>0.79305555555555551</v>
      </c>
      <c r="J17" s="90">
        <f>LOOKUP(2,1/(('0513 4度C'!$A:$A="新豐10線")*('0513 4度C'!$T:$T&lt;&gt;"")),'0513 4度C'!$T:$T)</f>
        <v>0.42291666666666661</v>
      </c>
      <c r="K17" s="88">
        <f>LOOKUP(2,1/(('0513 4度C'!$A:$A="新豐8線")*('0513 4度C'!$T:$T&lt;&gt;"")),'0513 4度C'!$T:$T)</f>
        <v>0.72916666666666663</v>
      </c>
      <c r="L17" s="89">
        <f>LOOKUP(2,1/(('0513 4度C'!$A:$A="新豐9線")*('0513 4度C'!$T:$T&lt;&gt;"")),'0513 4度C'!$T:$T)</f>
        <v>0.68402777777777768</v>
      </c>
      <c r="M17" s="90">
        <f>LOOKUP(2,1/(('0513 4度C'!$A:$A="新豐4線")*('0513 4度C'!$T:$T&lt;&gt;"")),'0513 4度C'!$T:$T)</f>
        <v>0.74722222222222212</v>
      </c>
    </row>
    <row r="18" spans="2:13" ht="17.25" customHeight="1">
      <c r="B18" s="505" t="s">
        <v>1319</v>
      </c>
      <c r="C18" s="94" t="s">
        <v>40</v>
      </c>
      <c r="D18" s="95">
        <f>SUMIFS('0513 4度C'!$Y:$Y,'0513 4度C'!$A:$A,"新豐6線",'0513 4度C'!$B:$B,"平均")</f>
        <v>0</v>
      </c>
      <c r="E18" s="96">
        <f>SUMIFS('0513 4度C'!$Y:$Y,'0513 4度C'!$A:$A,"新豐2線",'0513 4度C'!$B:$B,"平均")</f>
        <v>0</v>
      </c>
      <c r="F18" s="96">
        <f>SUMIFS('0513 4度C'!$Y:$Y,'0513 4度C'!$A:$A,"新豐5線",'0513 4度C'!$B:$B,"平均")</f>
        <v>0</v>
      </c>
      <c r="G18" s="96">
        <f>SUMIFS('0513 4度C'!$Y:$Y,'0513 4度C'!$A:$A,"新豐7線",'0513 4度C'!$B:$B,"平均")</f>
        <v>0</v>
      </c>
      <c r="H18" s="96">
        <f>SUMIFS('0513 4度C'!$Y:$Y,'0513 4度C'!$A:$A,"新豐3線",'0513 4度C'!$B:$B,"平均")</f>
        <v>0</v>
      </c>
      <c r="I18" s="96">
        <f>SUMIFS('0513 4度C'!$Y:$Y,'0513 4度C'!$A:$A,"新豐1線",'0513 4度C'!$B:$B,"平均")</f>
        <v>0</v>
      </c>
      <c r="J18" s="97">
        <f>SUMIFS('0513 4度C'!$Y:$Y,'0513 4度C'!$A:$A,"新豐10線",'0513 4度C'!$B:$B,"平均")</f>
        <v>0</v>
      </c>
      <c r="K18" s="98">
        <f>SUMIFS('0513 4度C'!$Y:$Y,'0513 4度C'!$A:$A,"新豐8線",'0513 4度C'!$B:$B,"平均")</f>
        <v>0</v>
      </c>
      <c r="L18" s="96">
        <f>SUMIFS('0513 4度C'!$Y:$Y,'0513 4度C'!$A:$A,"新豐9線",'0513 4度C'!$B:$B,"平均")</f>
        <v>0</v>
      </c>
      <c r="M18" s="97">
        <f>SUMIFS('0513 4度C'!$Y:$Y,'0513 4度C'!$A:$A,"新豐4線",'0513 4度C'!$B:$B,"平均")</f>
        <v>0</v>
      </c>
    </row>
    <row r="19" spans="2:13" ht="17.25" customHeight="1">
      <c r="B19" s="506"/>
      <c r="C19" s="94" t="s">
        <v>1320</v>
      </c>
      <c r="D19" s="95">
        <f>SUMIFS('0513 4度C'!$Z:$Z,'0513 4度C'!$A:$A,"新豐6線",'0513 4度C'!$B:$B,"平均")</f>
        <v>0</v>
      </c>
      <c r="E19" s="96">
        <f>SUMIFS('0513 4度C'!$Z:$Z,'0513 4度C'!$A:$A,"新豐2線",'0513 4度C'!$B:$B,"平均")</f>
        <v>0</v>
      </c>
      <c r="F19" s="96">
        <f>SUMIFS('0513 4度C'!$Z:$Z,'0513 4度C'!$A:$A,"新豐5線",'0513 4度C'!$B:$B,"平均")</f>
        <v>0</v>
      </c>
      <c r="G19" s="96">
        <f>SUMIFS('0513 4度C'!$Z:$Z,'0513 4度C'!$A:$A,"新豐7線",'0513 4度C'!$B:$B,"平均")</f>
        <v>0</v>
      </c>
      <c r="H19" s="96">
        <f>SUMIFS('0513 4度C'!$Z:$Z,'0513 4度C'!$A:$A,"新豐3線",'0513 4度C'!$B:$B,"平均")</f>
        <v>0</v>
      </c>
      <c r="I19" s="96">
        <f>SUMIFS('0513 4度C'!$Z:$Z,'0513 4度C'!$A:$A,"新豐1線",'0513 4度C'!$B:$B,"平均")</f>
        <v>0</v>
      </c>
      <c r="J19" s="97">
        <f>SUMIFS('0513 4度C'!$Z:$Z,'0513 4度C'!$A:$A,"新豐10線",'0513 4度C'!$B:$B,"平均")</f>
        <v>0</v>
      </c>
      <c r="K19" s="98">
        <f>SUMIFS('0513 4度C'!$Z:$Z,'0513 4度C'!$A:$A,"新豐8線",'0513 4度C'!$B:$B,"平均")</f>
        <v>0</v>
      </c>
      <c r="L19" s="96">
        <f>SUMIFS('0513 4度C'!$Z:$Z,'0513 4度C'!$A:$A,"新豐9線",'0513 4度C'!$B:$B,"平均")</f>
        <v>0</v>
      </c>
      <c r="M19" s="97">
        <f>SUMIFS('0513 4度C'!$Z:$Z,'0513 4度C'!$A:$A,"新豐4線",'0513 4度C'!$B:$B,"平均")</f>
        <v>0</v>
      </c>
    </row>
    <row r="20" spans="2:13" ht="17.25" customHeight="1">
      <c r="B20" s="505" t="s">
        <v>1321</v>
      </c>
      <c r="C20" s="94" t="s">
        <v>1322</v>
      </c>
      <c r="D20" s="95">
        <f>SUMIFS('0513 4度C'!$AC:$AC,'0513 4度C'!$A:$A,"新豐6線",'0513 4度C'!$B:$B,"平均")</f>
        <v>3</v>
      </c>
      <c r="E20" s="96">
        <f>SUMIFS('0513 4度C'!$AC:$AC,'0513 4度C'!$A:$A,"新豐2線",'0513 4度C'!$B:$B,"平均")</f>
        <v>3</v>
      </c>
      <c r="F20" s="96">
        <f>SUMIFS('0513 4度C'!$AC:$AC,'0513 4度C'!$A:$A,"新豐5線",'0513 4度C'!$B:$B,"平均")</f>
        <v>4</v>
      </c>
      <c r="G20" s="96">
        <f>SUMIFS('0513 4度C'!$AC:$AC,'0513 4度C'!$A:$A,"新豐7線",'0513 4度C'!$B:$B,"平均")</f>
        <v>6</v>
      </c>
      <c r="H20" s="96">
        <f>SUMIFS('0513 4度C'!$AC:$AC,'0513 4度C'!$A:$A,"新豐3線",'0513 4度C'!$B:$B,"平均")</f>
        <v>4</v>
      </c>
      <c r="I20" s="96">
        <f>SUMIFS('0513 4度C'!$AC:$AC,'0513 4度C'!$A:$A,"新豐1線",'0513 4度C'!$B:$B,"平均")</f>
        <v>9</v>
      </c>
      <c r="J20" s="97">
        <f>SUMIFS('0513 4度C'!$AC:$AC,'0513 4度C'!$A:$A,"新豐10線",'0513 4度C'!$B:$B,"平均")</f>
        <v>6</v>
      </c>
      <c r="K20" s="98">
        <f>SUMIFS('0513 4度C'!$AC:$AC,'0513 4度C'!$A:$A,"新豐8線",'0513 4度C'!$B:$B,"平均")</f>
        <v>8</v>
      </c>
      <c r="L20" s="96">
        <f>SUMIFS('0513 4度C'!$AC:$AC,'0513 4度C'!$A:$A,"新豐9線",'0513 4度C'!$B:$B,"平均")</f>
        <v>6</v>
      </c>
      <c r="M20" s="97">
        <f>SUMIFS('0513 4度C'!$AC:$AC,'0513 4度C'!$A:$A,"新豐4線",'0513 4度C'!$B:$B,"平均")</f>
        <v>9</v>
      </c>
    </row>
    <row r="21" spans="2:13" ht="17.25" customHeight="1">
      <c r="B21" s="506"/>
      <c r="C21" s="94" t="s">
        <v>1323</v>
      </c>
      <c r="D21" s="95">
        <f>SUMIFS('0513 4度C'!$AD:$AD,'0513 4度C'!$A:$A,"新豐6線",'0513 4度C'!$B:$B,"平均")</f>
        <v>0</v>
      </c>
      <c r="E21" s="96">
        <f>SUMIFS('0513 4度C'!$AD:$AD,'0513 4度C'!$A:$A,"新豐2線",'0513 4度C'!$B:$B,"平均")</f>
        <v>0</v>
      </c>
      <c r="F21" s="96">
        <f>SUMIFS('0513 4度C'!$AD:$AD,'0513 4度C'!$A:$A,"新豐5線",'0513 4度C'!$B:$B,"平均")</f>
        <v>0</v>
      </c>
      <c r="G21" s="96">
        <f>SUMIFS('0513 4度C'!$AD:$AD,'0513 4度C'!$A:$A,"新豐7線",'0513 4度C'!$B:$B,"平均")</f>
        <v>0</v>
      </c>
      <c r="H21" s="96">
        <f>SUMIFS('0513 4度C'!$AD:$AD,'0513 4度C'!$A:$A,"新豐3線",'0513 4度C'!$B:$B,"平均")</f>
        <v>0</v>
      </c>
      <c r="I21" s="96">
        <f>SUMIFS('0513 4度C'!$AD:$AD,'0513 4度C'!$A:$A,"新豐1線",'0513 4度C'!$B:$B,"平均")</f>
        <v>0</v>
      </c>
      <c r="J21" s="97">
        <f>SUMIFS('0513 4度C'!$AD:$AD,'0513 4度C'!$A:$A,"新豐10線",'0513 4度C'!$B:$B,"平均")</f>
        <v>0</v>
      </c>
      <c r="K21" s="98">
        <f>SUMIFS('0513 4度C'!$AD:$AD,'0513 4度C'!$A:$A,"新豐8線",'0513 4度C'!$B:$B,"平均")</f>
        <v>0</v>
      </c>
      <c r="L21" s="96">
        <f>SUMIFS('0513 4度C'!$AD:$AD,'0513 4度C'!$A:$A,"新豐9線",'0513 4度C'!$B:$B,"平均")</f>
        <v>0</v>
      </c>
      <c r="M21" s="97">
        <f>SUMIFS('0513 4度C'!$AD:$AD,'0513 4度C'!$A:$A,"新豐4線",'0513 4度C'!$B:$B,"平均")</f>
        <v>0</v>
      </c>
    </row>
    <row r="22" spans="2:13" ht="17.25" customHeight="1">
      <c r="B22" s="507" t="s">
        <v>1324</v>
      </c>
      <c r="C22" s="508"/>
      <c r="D22" s="99">
        <f>SUMIFS('0513 4度C'!$I:$I,'0513 4度C'!$A:$A,"新豐6線",'0513 4度C'!$B:$B,"平均")</f>
        <v>16</v>
      </c>
      <c r="E22" s="100">
        <f>SUMIFS('0513 4度C'!$I:$I,'0513 4度C'!$A:$A,"新豐2線",'0513 4度C'!$B:$B,"平均")</f>
        <v>17.666666666666668</v>
      </c>
      <c r="F22" s="100">
        <f>SUMIFS('0513 4度C'!$I:$I,'0513 4度C'!$A:$A,"新豐5線",'0513 4度C'!$B:$B,"平均")</f>
        <v>17.5</v>
      </c>
      <c r="G22" s="100">
        <f>SUMIFS('0513 4度C'!$I:$I,'0513 4度C'!$A:$A,"新豐7線",'0513 4度C'!$B:$B,"平均")</f>
        <v>15.833333333333334</v>
      </c>
      <c r="H22" s="100">
        <f>SUMIFS('0513 4度C'!$I:$I,'0513 4度C'!$A:$A,"新豐3線",'0513 4度C'!$B:$B,"平均")</f>
        <v>10.75</v>
      </c>
      <c r="I22" s="100">
        <f>SUMIFS('0513 4度C'!$I:$I,'0513 4度C'!$A:$A,"新豐1線",'0513 4度C'!$B:$B,"平均")</f>
        <v>18.777777777777779</v>
      </c>
      <c r="J22" s="101">
        <f>SUMIFS('0513 4度C'!$I:$I,'0513 4度C'!$A:$A,"新豐10線",'0513 4度C'!$B:$B,"平均")</f>
        <v>9.5</v>
      </c>
      <c r="K22" s="99">
        <f>SUMIFS('0513 4度C'!$I:$I,'0513 4度C'!$A:$A,"新豐8線",'0513 4度C'!$B:$B,"平均")</f>
        <v>17.375</v>
      </c>
      <c r="L22" s="100">
        <f>SUMIFS('0513 4度C'!$I:$I,'0513 4度C'!$A:$A,"新豐9線",'0513 4度C'!$B:$B,"平均")</f>
        <v>18.166666666666668</v>
      </c>
      <c r="M22" s="101">
        <f>SUMIFS('0513 4度C'!$I:$I,'0513 4度C'!$A:$A,"新豐4線",'0513 4度C'!$B:$B,"平均")</f>
        <v>16.111111111111111</v>
      </c>
    </row>
    <row r="23" spans="2:13" ht="17.25" customHeight="1">
      <c r="B23" s="507" t="s">
        <v>1325</v>
      </c>
      <c r="C23" s="508"/>
      <c r="D23" s="102" t="s">
        <v>177</v>
      </c>
      <c r="E23" s="103" t="s">
        <v>178</v>
      </c>
      <c r="F23" s="103" t="s">
        <v>1326</v>
      </c>
      <c r="G23" s="103" t="s">
        <v>1326</v>
      </c>
      <c r="H23" s="103" t="s">
        <v>180</v>
      </c>
      <c r="I23" s="103" t="s">
        <v>177</v>
      </c>
      <c r="J23" s="104" t="s">
        <v>180</v>
      </c>
      <c r="K23" s="102" t="s">
        <v>1327</v>
      </c>
      <c r="L23" s="103" t="s">
        <v>1327</v>
      </c>
      <c r="M23" s="104" t="s">
        <v>1327</v>
      </c>
    </row>
    <row r="24" spans="2:13" ht="17.25" customHeight="1">
      <c r="B24" s="507" t="s">
        <v>1328</v>
      </c>
      <c r="C24" s="508"/>
      <c r="D24" s="102"/>
      <c r="E24" s="103"/>
      <c r="F24" s="103" t="s">
        <v>1329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230</v>
      </c>
      <c r="C25" s="510"/>
      <c r="D25" s="105"/>
      <c r="E25" s="106" t="s">
        <v>1330</v>
      </c>
      <c r="F25" s="503" t="s">
        <v>1331</v>
      </c>
      <c r="G25" s="504"/>
      <c r="H25" s="106" t="s">
        <v>1332</v>
      </c>
      <c r="I25" s="106" t="s">
        <v>1333</v>
      </c>
      <c r="J25" s="107" t="s">
        <v>1332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77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3"/>
  <sheetViews>
    <sheetView zoomScale="80" zoomScaleNormal="80" workbookViewId="0">
      <pane ySplit="4" topLeftCell="A60" activePane="bottomLeft" state="frozen"/>
      <selection activeCell="E7" sqref="E7:F7"/>
      <selection pane="bottomLeft" activeCell="AC40" sqref="AC4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1334</v>
      </c>
      <c r="B1" s="1"/>
      <c r="C1" s="2" t="s">
        <v>1335</v>
      </c>
      <c r="D1" s="3">
        <f>SUM(F5:F72)</f>
        <v>177085</v>
      </c>
      <c r="E1" s="251" t="s">
        <v>1336</v>
      </c>
      <c r="F1" s="1">
        <f>SUM(G5:G72)</f>
        <v>6044013.9499999993</v>
      </c>
      <c r="G1" s="1" t="s">
        <v>1337</v>
      </c>
      <c r="H1" s="5">
        <f>L8+L12+L45+L55+L17+L62+L33+L40+L24+L72</f>
        <v>157.68055555555557</v>
      </c>
      <c r="I1" s="617" t="s">
        <v>1338</v>
      </c>
      <c r="J1" s="617"/>
      <c r="K1" s="617"/>
      <c r="L1" s="617" t="s">
        <v>1339</v>
      </c>
      <c r="M1" s="617"/>
      <c r="N1" s="617"/>
      <c r="O1" s="617" t="s">
        <v>1340</v>
      </c>
      <c r="P1" s="617"/>
      <c r="Q1" s="617"/>
      <c r="R1" s="617"/>
      <c r="S1" s="617" t="s">
        <v>1341</v>
      </c>
      <c r="T1" s="617"/>
      <c r="U1" s="617"/>
      <c r="V1" s="617"/>
      <c r="W1" s="617"/>
      <c r="X1" s="617"/>
      <c r="Y1" s="6" t="s">
        <v>1342</v>
      </c>
      <c r="Z1" s="7" t="s">
        <v>1343</v>
      </c>
      <c r="AA1" s="618" t="s">
        <v>1344</v>
      </c>
      <c r="AB1" s="618"/>
      <c r="AC1" s="121" t="s">
        <v>1342</v>
      </c>
      <c r="AD1" s="7" t="s">
        <v>1345</v>
      </c>
      <c r="AE1" s="617" t="s">
        <v>1346</v>
      </c>
      <c r="AF1" s="619"/>
      <c r="AG1" s="619"/>
    </row>
    <row r="2" spans="1:33" ht="26.25" customHeight="1">
      <c r="A2" s="37">
        <v>46155</v>
      </c>
      <c r="B2" s="38" t="s">
        <v>584</v>
      </c>
      <c r="C2" s="2" t="s">
        <v>1312</v>
      </c>
      <c r="D2" s="10">
        <f>AVERAGE(N8,N12,N45,N55,N17,N62,N24,N33,N40,N72)</f>
        <v>145.06895706635518</v>
      </c>
      <c r="E2" s="11" t="s">
        <v>14</v>
      </c>
      <c r="F2" s="12">
        <f>F1/D1</f>
        <v>34.130581076883978</v>
      </c>
      <c r="G2" s="1" t="s">
        <v>1347</v>
      </c>
      <c r="H2" s="259">
        <f>COUNT(H5:H72)</f>
        <v>11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SUM(Y8+Y12+Y17+Y24+Y33+Y40+Y45+Y55+Y62+Y72)</f>
        <v>0</v>
      </c>
      <c r="Z2" s="14">
        <f>SUM(Z8+Z12+Z17+Z24+Z33+Z40+Z45+Z55+Z62+Z72)</f>
        <v>0</v>
      </c>
      <c r="AA2" s="618"/>
      <c r="AB2" s="618"/>
      <c r="AC2" s="122">
        <v>58</v>
      </c>
      <c r="AD2" s="14">
        <f>SUM(AD8+AD12+AD17+AD24+AD33+AD40+AD45+AD55+AD62+AD72)</f>
        <v>0</v>
      </c>
      <c r="AE2" s="619"/>
      <c r="AF2" s="619"/>
      <c r="AG2" s="619"/>
    </row>
    <row r="3" spans="1:33" ht="40.5" customHeight="1">
      <c r="A3" s="575" t="s">
        <v>1348</v>
      </c>
      <c r="B3" s="575" t="s">
        <v>1349</v>
      </c>
      <c r="C3" s="575" t="s">
        <v>1350</v>
      </c>
      <c r="D3" s="575"/>
      <c r="E3" s="615" t="s">
        <v>1351</v>
      </c>
      <c r="F3" s="575" t="s">
        <v>1352</v>
      </c>
      <c r="G3" s="615" t="s">
        <v>1353</v>
      </c>
      <c r="H3" s="608" t="s">
        <v>1354</v>
      </c>
      <c r="I3" s="606" t="s">
        <v>1355</v>
      </c>
      <c r="J3" s="603" t="s">
        <v>1356</v>
      </c>
      <c r="K3" s="613" t="s">
        <v>1357</v>
      </c>
      <c r="L3" s="606" t="s">
        <v>1358</v>
      </c>
      <c r="M3" s="603" t="s">
        <v>1356</v>
      </c>
      <c r="N3" s="613" t="s">
        <v>1312</v>
      </c>
      <c r="O3" s="606" t="s">
        <v>1355</v>
      </c>
      <c r="P3" s="613" t="s">
        <v>1312</v>
      </c>
      <c r="Q3" s="604" t="s">
        <v>1359</v>
      </c>
      <c r="R3" s="582" t="s">
        <v>1360</v>
      </c>
      <c r="S3" s="614" t="s">
        <v>28</v>
      </c>
      <c r="T3" s="614"/>
      <c r="U3" s="608" t="s">
        <v>29</v>
      </c>
      <c r="V3" s="608" t="s">
        <v>1361</v>
      </c>
      <c r="W3" s="575" t="s">
        <v>1362</v>
      </c>
      <c r="X3" s="575"/>
      <c r="Y3" s="609" t="s">
        <v>1363</v>
      </c>
      <c r="Z3" s="572"/>
      <c r="AA3" s="610" t="s">
        <v>1364</v>
      </c>
      <c r="AB3" s="611"/>
      <c r="AC3" s="609" t="s">
        <v>1365</v>
      </c>
      <c r="AD3" s="572"/>
      <c r="AE3" s="603" t="s">
        <v>1366</v>
      </c>
      <c r="AF3" s="604" t="s">
        <v>1367</v>
      </c>
      <c r="AG3" s="582" t="s">
        <v>1368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258" t="s">
        <v>36</v>
      </c>
      <c r="T4" s="258" t="s">
        <v>37</v>
      </c>
      <c r="U4" s="608"/>
      <c r="V4" s="608"/>
      <c r="W4" s="251" t="s">
        <v>1369</v>
      </c>
      <c r="X4" s="251" t="s">
        <v>1370</v>
      </c>
      <c r="Y4" s="250" t="s">
        <v>1371</v>
      </c>
      <c r="Z4" s="250" t="s">
        <v>1372</v>
      </c>
      <c r="AA4" s="612"/>
      <c r="AB4" s="611"/>
      <c r="AC4" s="250" t="s">
        <v>1373</v>
      </c>
      <c r="AD4" s="250" t="s">
        <v>1374</v>
      </c>
      <c r="AE4" s="603"/>
      <c r="AF4" s="604"/>
      <c r="AG4" s="582"/>
    </row>
    <row r="5" spans="1:33">
      <c r="A5" s="605" t="s">
        <v>1375</v>
      </c>
      <c r="B5" s="39" t="s">
        <v>74</v>
      </c>
      <c r="C5" s="607" t="s">
        <v>75</v>
      </c>
      <c r="D5" s="607"/>
      <c r="E5" s="39">
        <v>50.67</v>
      </c>
      <c r="F5" s="258">
        <v>1474</v>
      </c>
      <c r="G5" s="251">
        <f t="shared" ref="G5:G7" si="0">E5*F5</f>
        <v>74687.58</v>
      </c>
      <c r="H5" s="48" t="s">
        <v>126</v>
      </c>
      <c r="I5" s="256">
        <v>17</v>
      </c>
      <c r="J5" s="43">
        <v>2000</v>
      </c>
      <c r="K5" s="18">
        <f t="shared" ref="K5:K68" si="1">J5/I5</f>
        <v>117.64705882352941</v>
      </c>
      <c r="L5" s="256">
        <v>17</v>
      </c>
      <c r="M5" s="19">
        <f t="shared" ref="M5:M7" si="2">F5/V5*60</f>
        <v>1922.6086956521738</v>
      </c>
      <c r="N5" s="18">
        <f t="shared" ref="N5:N68" si="3">M5/L5</f>
        <v>113.09462915601023</v>
      </c>
      <c r="O5" s="20">
        <f t="shared" ref="O5:O68" si="4">L5-I5</f>
        <v>0</v>
      </c>
      <c r="P5" s="21">
        <f t="shared" ref="P5:P68" si="5">N5-K5</f>
        <v>-4.5524296675191778</v>
      </c>
      <c r="Q5" s="252">
        <f t="shared" ref="Q5:Q68" si="6">N5/K5</f>
        <v>0.96130434782608698</v>
      </c>
      <c r="R5" s="573">
        <f>Q8</f>
        <v>0.95778274499114113</v>
      </c>
      <c r="S5" s="49">
        <v>0.70833333333333337</v>
      </c>
      <c r="T5" s="49">
        <v>0.74027777777777781</v>
      </c>
      <c r="U5" s="251"/>
      <c r="V5" s="257">
        <f t="shared" ref="V5:V7" si="7">(T5-S5)*24*60</f>
        <v>46</v>
      </c>
      <c r="W5" s="25"/>
      <c r="X5" s="26"/>
      <c r="Y5" s="26"/>
      <c r="Z5" s="26"/>
      <c r="AA5" s="575"/>
      <c r="AB5" s="575"/>
      <c r="AC5" s="50">
        <v>3</v>
      </c>
      <c r="AD5" s="27"/>
      <c r="AE5" s="20">
        <f t="shared" ref="AE5:AE54" si="8">M5-J5</f>
        <v>-77.391304347826235</v>
      </c>
      <c r="AF5" s="252">
        <f t="shared" ref="AF5:AF68" si="9">M5/J5</f>
        <v>0.96130434782608687</v>
      </c>
      <c r="AG5" s="573">
        <f>AF8</f>
        <v>0.95778274499114113</v>
      </c>
    </row>
    <row r="6" spans="1:33">
      <c r="A6" s="606" t="s">
        <v>1376</v>
      </c>
      <c r="B6" s="39" t="s">
        <v>74</v>
      </c>
      <c r="C6" s="607" t="s">
        <v>77</v>
      </c>
      <c r="D6" s="607"/>
      <c r="E6" s="39">
        <v>50.67</v>
      </c>
      <c r="F6" s="258">
        <v>1753</v>
      </c>
      <c r="G6" s="251">
        <f t="shared" si="0"/>
        <v>88824.510000000009</v>
      </c>
      <c r="H6" s="48" t="s">
        <v>126</v>
      </c>
      <c r="I6" s="256">
        <v>15</v>
      </c>
      <c r="J6" s="43">
        <v>2000</v>
      </c>
      <c r="K6" s="18">
        <f t="shared" si="1"/>
        <v>133.33333333333334</v>
      </c>
      <c r="L6" s="256">
        <v>15</v>
      </c>
      <c r="M6" s="19">
        <f t="shared" si="2"/>
        <v>1912.3636363636376</v>
      </c>
      <c r="N6" s="18">
        <f t="shared" si="3"/>
        <v>127.49090909090917</v>
      </c>
      <c r="O6" s="20">
        <f t="shared" si="4"/>
        <v>0</v>
      </c>
      <c r="P6" s="21">
        <f t="shared" si="5"/>
        <v>-5.8424242424241726</v>
      </c>
      <c r="Q6" s="252">
        <f t="shared" si="6"/>
        <v>0.95618181818181869</v>
      </c>
      <c r="R6" s="573"/>
      <c r="S6" s="49">
        <v>0.74513888888888891</v>
      </c>
      <c r="T6" s="49">
        <v>0.78333333333333333</v>
      </c>
      <c r="U6" s="251">
        <f t="shared" ref="U6:U7" si="10">IF(S6=TIME(17,0,0),"",(S6-T5)*24*60)</f>
        <v>6.9999999999999751</v>
      </c>
      <c r="V6" s="257">
        <f t="shared" si="7"/>
        <v>54.999999999999964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-87.636363636362375</v>
      </c>
      <c r="AF6" s="252">
        <f t="shared" si="9"/>
        <v>0.9561818181818188</v>
      </c>
      <c r="AG6" s="573"/>
    </row>
    <row r="7" spans="1:33">
      <c r="A7" s="606" t="s">
        <v>1376</v>
      </c>
      <c r="B7" s="39" t="s">
        <v>74</v>
      </c>
      <c r="C7" s="598" t="s">
        <v>78</v>
      </c>
      <c r="D7" s="599"/>
      <c r="E7" s="39">
        <v>52.86</v>
      </c>
      <c r="F7" s="258">
        <v>1848</v>
      </c>
      <c r="G7" s="251">
        <f t="shared" si="0"/>
        <v>97685.28</v>
      </c>
      <c r="H7" s="48" t="s">
        <v>126</v>
      </c>
      <c r="I7" s="256">
        <v>16</v>
      </c>
      <c r="J7" s="43">
        <v>2000</v>
      </c>
      <c r="K7" s="18">
        <f t="shared" si="1"/>
        <v>125</v>
      </c>
      <c r="L7" s="256">
        <v>16</v>
      </c>
      <c r="M7" s="19">
        <f t="shared" si="2"/>
        <v>1911.7241379310358</v>
      </c>
      <c r="N7" s="18">
        <f t="shared" si="3"/>
        <v>119.48275862068974</v>
      </c>
      <c r="O7" s="20">
        <f t="shared" si="4"/>
        <v>0</v>
      </c>
      <c r="P7" s="21">
        <f t="shared" si="5"/>
        <v>-5.5172413793102635</v>
      </c>
      <c r="Q7" s="252">
        <f t="shared" si="6"/>
        <v>0.95586206896551784</v>
      </c>
      <c r="R7" s="573"/>
      <c r="S7" s="49">
        <v>0.78888888888888886</v>
      </c>
      <c r="T7" s="49">
        <v>0.82916666666666661</v>
      </c>
      <c r="U7" s="251">
        <f t="shared" si="10"/>
        <v>7.9999999999999716</v>
      </c>
      <c r="V7" s="257">
        <f t="shared" si="7"/>
        <v>57.999999999999957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-88.275862068964216</v>
      </c>
      <c r="AF7" s="252">
        <f t="shared" si="9"/>
        <v>0.95586206896551784</v>
      </c>
      <c r="AG7" s="573"/>
    </row>
    <row r="8" spans="1:33">
      <c r="A8" s="606" t="s">
        <v>1376</v>
      </c>
      <c r="B8" s="39" t="s">
        <v>1377</v>
      </c>
      <c r="C8" s="576"/>
      <c r="D8" s="576"/>
      <c r="E8" s="253"/>
      <c r="F8" s="42"/>
      <c r="G8" s="18"/>
      <c r="H8" s="258"/>
      <c r="I8" s="32">
        <v>16</v>
      </c>
      <c r="J8" s="43">
        <v>2000</v>
      </c>
      <c r="K8" s="18">
        <f t="shared" si="1"/>
        <v>125</v>
      </c>
      <c r="L8" s="32">
        <v>16</v>
      </c>
      <c r="M8" s="19">
        <f>AVERAGE(M5:M7)</f>
        <v>1915.5654899822823</v>
      </c>
      <c r="N8" s="18">
        <f t="shared" si="3"/>
        <v>119.72284312389264</v>
      </c>
      <c r="O8" s="20">
        <f t="shared" si="4"/>
        <v>0</v>
      </c>
      <c r="P8" s="21">
        <f t="shared" si="5"/>
        <v>-5.2771568761073553</v>
      </c>
      <c r="Q8" s="252">
        <f t="shared" si="6"/>
        <v>0.95778274499114113</v>
      </c>
      <c r="R8" s="573"/>
      <c r="S8" s="49"/>
      <c r="T8" s="49"/>
      <c r="U8" s="251"/>
      <c r="V8" s="257"/>
      <c r="W8" s="18"/>
      <c r="X8" s="18"/>
      <c r="Y8" s="33">
        <f>SUM(Y5:Y7)</f>
        <v>0</v>
      </c>
      <c r="Z8" s="33">
        <f>SUM(Z5:Z7)</f>
        <v>0</v>
      </c>
      <c r="AA8" s="572"/>
      <c r="AB8" s="572"/>
      <c r="AC8" s="33">
        <v>3</v>
      </c>
      <c r="AD8" s="33">
        <f>SUM(AD5:AD7)</f>
        <v>0</v>
      </c>
      <c r="AE8" s="20">
        <f t="shared" si="8"/>
        <v>-84.434510017717685</v>
      </c>
      <c r="AF8" s="252">
        <f t="shared" si="9"/>
        <v>0.95778274499114113</v>
      </c>
      <c r="AG8" s="573"/>
    </row>
    <row r="9" spans="1:33" ht="15.75" customHeight="1">
      <c r="A9" s="602" t="s">
        <v>1378</v>
      </c>
      <c r="B9" s="39" t="s">
        <v>79</v>
      </c>
      <c r="C9" s="598" t="s">
        <v>80</v>
      </c>
      <c r="D9" s="599"/>
      <c r="E9" s="39">
        <v>39.619999999999997</v>
      </c>
      <c r="F9" s="258">
        <v>4380</v>
      </c>
      <c r="G9" s="251">
        <f t="shared" ref="G9:G11" si="11">E9*F9</f>
        <v>173535.59999999998</v>
      </c>
      <c r="H9" s="48" t="s">
        <v>126</v>
      </c>
      <c r="I9" s="256">
        <v>19</v>
      </c>
      <c r="J9" s="43">
        <v>1500</v>
      </c>
      <c r="K9" s="18">
        <f t="shared" si="1"/>
        <v>78.94736842105263</v>
      </c>
      <c r="L9" s="256">
        <v>19</v>
      </c>
      <c r="M9" s="19">
        <f t="shared" ref="M9:M11" si="12">F9/V9*60</f>
        <v>1428.2608695652173</v>
      </c>
      <c r="N9" s="18">
        <f t="shared" si="3"/>
        <v>75.171624713958806</v>
      </c>
      <c r="O9" s="20">
        <f t="shared" si="4"/>
        <v>0</v>
      </c>
      <c r="P9" s="21">
        <f t="shared" si="5"/>
        <v>-3.7757437070938238</v>
      </c>
      <c r="Q9" s="252">
        <f t="shared" si="6"/>
        <v>0.9521739130434782</v>
      </c>
      <c r="R9" s="573">
        <f>Q12</f>
        <v>0.95541986582466343</v>
      </c>
      <c r="S9" s="49">
        <v>0.20833333333333334</v>
      </c>
      <c r="T9" s="49">
        <v>0.33611111111111114</v>
      </c>
      <c r="U9" s="251"/>
      <c r="V9" s="257">
        <f t="shared" ref="V9:V11" si="13">(T9-S9)*24*60</f>
        <v>184.00000000000003</v>
      </c>
      <c r="W9" s="25"/>
      <c r="X9" s="25"/>
      <c r="Y9" s="25"/>
      <c r="Z9" s="25"/>
      <c r="AA9" s="575"/>
      <c r="AB9" s="575"/>
      <c r="AC9" s="50">
        <v>3</v>
      </c>
      <c r="AD9" s="27"/>
      <c r="AE9" s="20">
        <f t="shared" si="8"/>
        <v>-71.739130434782737</v>
      </c>
      <c r="AF9" s="252">
        <f t="shared" si="9"/>
        <v>0.9521739130434782</v>
      </c>
      <c r="AG9" s="573">
        <f>AF12</f>
        <v>0.95541986582466343</v>
      </c>
    </row>
    <row r="10" spans="1:33" ht="15.75" customHeight="1">
      <c r="A10" s="602" t="s">
        <v>1379</v>
      </c>
      <c r="B10" s="39" t="s">
        <v>79</v>
      </c>
      <c r="C10" s="598" t="s">
        <v>81</v>
      </c>
      <c r="D10" s="599"/>
      <c r="E10" s="39">
        <v>39.799999999999997</v>
      </c>
      <c r="F10" s="258">
        <v>4200</v>
      </c>
      <c r="G10" s="251">
        <f t="shared" si="11"/>
        <v>167160</v>
      </c>
      <c r="H10" s="48">
        <v>2</v>
      </c>
      <c r="I10" s="256">
        <v>17</v>
      </c>
      <c r="J10" s="43">
        <v>1500</v>
      </c>
      <c r="K10" s="18">
        <f t="shared" si="1"/>
        <v>88.235294117647058</v>
      </c>
      <c r="L10" s="256">
        <v>17</v>
      </c>
      <c r="M10" s="19">
        <f t="shared" si="12"/>
        <v>1431.8181818181818</v>
      </c>
      <c r="N10" s="18">
        <f t="shared" si="3"/>
        <v>84.224598930481278</v>
      </c>
      <c r="O10" s="20">
        <f t="shared" si="4"/>
        <v>0</v>
      </c>
      <c r="P10" s="21">
        <f t="shared" si="5"/>
        <v>-4.0106951871657799</v>
      </c>
      <c r="Q10" s="252">
        <f t="shared" si="6"/>
        <v>0.95454545454545447</v>
      </c>
      <c r="R10" s="573"/>
      <c r="S10" s="49">
        <v>0.34166666666666667</v>
      </c>
      <c r="T10" s="49">
        <v>0.46388888888888891</v>
      </c>
      <c r="U10" s="251">
        <f t="shared" ref="U10:U11" si="14">IF(S10=TIME(17,0,0),"",(S10-T9)*24*60)</f>
        <v>7.9999999999999716</v>
      </c>
      <c r="V10" s="257">
        <f t="shared" si="13"/>
        <v>176</v>
      </c>
      <c r="W10" s="25">
        <f>T10</f>
        <v>0.46388888888888891</v>
      </c>
      <c r="X10" s="25">
        <f>S11</f>
        <v>0.50416666666666665</v>
      </c>
      <c r="Y10" s="25"/>
      <c r="Z10" s="25"/>
      <c r="AA10" s="575"/>
      <c r="AB10" s="575"/>
      <c r="AC10" s="50"/>
      <c r="AD10" s="27"/>
      <c r="AE10" s="20">
        <f t="shared" si="8"/>
        <v>-68.181818181818244</v>
      </c>
      <c r="AF10" s="252">
        <f t="shared" si="9"/>
        <v>0.95454545454545447</v>
      </c>
      <c r="AG10" s="573"/>
    </row>
    <row r="11" spans="1:33" ht="15.75" customHeight="1">
      <c r="A11" s="602" t="s">
        <v>1380</v>
      </c>
      <c r="B11" s="39" t="s">
        <v>79</v>
      </c>
      <c r="C11" s="598" t="s">
        <v>81</v>
      </c>
      <c r="D11" s="599"/>
      <c r="E11" s="39">
        <v>39.799999999999997</v>
      </c>
      <c r="F11" s="258">
        <v>2087</v>
      </c>
      <c r="G11" s="251">
        <f t="shared" si="11"/>
        <v>83062.599999999991</v>
      </c>
      <c r="H11" s="48" t="s">
        <v>126</v>
      </c>
      <c r="I11" s="256">
        <v>17</v>
      </c>
      <c r="J11" s="43">
        <v>1500</v>
      </c>
      <c r="K11" s="18">
        <f t="shared" si="1"/>
        <v>88.235294117647058</v>
      </c>
      <c r="L11" s="256">
        <v>17</v>
      </c>
      <c r="M11" s="19">
        <f t="shared" si="12"/>
        <v>1439.3103448275858</v>
      </c>
      <c r="N11" s="18">
        <f t="shared" si="3"/>
        <v>84.665314401622695</v>
      </c>
      <c r="O11" s="20">
        <f t="shared" si="4"/>
        <v>0</v>
      </c>
      <c r="P11" s="21">
        <f t="shared" si="5"/>
        <v>-3.5699797160243634</v>
      </c>
      <c r="Q11" s="252">
        <f t="shared" si="6"/>
        <v>0.95954022988505716</v>
      </c>
      <c r="R11" s="573"/>
      <c r="S11" s="49">
        <v>0.50416666666666665</v>
      </c>
      <c r="T11" s="49">
        <v>0.56458333333333333</v>
      </c>
      <c r="U11" s="251">
        <f t="shared" si="14"/>
        <v>57.999999999999957</v>
      </c>
      <c r="V11" s="257">
        <f t="shared" si="13"/>
        <v>87.000000000000014</v>
      </c>
      <c r="W11" s="25"/>
      <c r="X11" s="25"/>
      <c r="Y11" s="25"/>
      <c r="Z11" s="25"/>
      <c r="AA11" s="575"/>
      <c r="AB11" s="575"/>
      <c r="AC11" s="50"/>
      <c r="AD11" s="27"/>
      <c r="AE11" s="20">
        <f t="shared" si="8"/>
        <v>-60.689655172414177</v>
      </c>
      <c r="AF11" s="252">
        <f t="shared" si="9"/>
        <v>0.95954022988505716</v>
      </c>
      <c r="AG11" s="573"/>
    </row>
    <row r="12" spans="1:33" ht="16.5" customHeight="1">
      <c r="A12" s="602" t="s">
        <v>1381</v>
      </c>
      <c r="B12" s="39" t="s">
        <v>1382</v>
      </c>
      <c r="C12" s="576"/>
      <c r="D12" s="576"/>
      <c r="E12" s="253"/>
      <c r="F12" s="43"/>
      <c r="G12" s="19"/>
      <c r="H12" s="258"/>
      <c r="I12" s="32">
        <v>17.666666666666668</v>
      </c>
      <c r="J12" s="43">
        <v>1500</v>
      </c>
      <c r="K12" s="18">
        <f t="shared" si="1"/>
        <v>84.905660377358487</v>
      </c>
      <c r="L12" s="32">
        <v>17.666666666666668</v>
      </c>
      <c r="M12" s="19">
        <f>AVERAGE(M9:M11)</f>
        <v>1433.1297987369951</v>
      </c>
      <c r="N12" s="18">
        <f t="shared" si="3"/>
        <v>81.120554645490287</v>
      </c>
      <c r="O12" s="20">
        <f t="shared" si="4"/>
        <v>0</v>
      </c>
      <c r="P12" s="21">
        <f t="shared" si="5"/>
        <v>-3.7851057318681995</v>
      </c>
      <c r="Q12" s="252">
        <f t="shared" si="6"/>
        <v>0.95541986582466343</v>
      </c>
      <c r="R12" s="573"/>
      <c r="S12" s="49"/>
      <c r="T12" s="49"/>
      <c r="U12" s="18"/>
      <c r="V12" s="257"/>
      <c r="W12" s="18"/>
      <c r="X12" s="18"/>
      <c r="Y12" s="33">
        <f>SUM(Y9:Y11)</f>
        <v>0</v>
      </c>
      <c r="Z12" s="33">
        <f>SUM(Z9:Z11)</f>
        <v>0</v>
      </c>
      <c r="AA12" s="572"/>
      <c r="AB12" s="572"/>
      <c r="AC12" s="33">
        <v>3</v>
      </c>
      <c r="AD12" s="33">
        <f>SUM(AD9:AD11)</f>
        <v>0</v>
      </c>
      <c r="AE12" s="20">
        <f t="shared" si="8"/>
        <v>-66.870201263004901</v>
      </c>
      <c r="AF12" s="252">
        <f t="shared" si="9"/>
        <v>0.95541986582466343</v>
      </c>
      <c r="AG12" s="573"/>
    </row>
    <row r="13" spans="1:33" ht="16.5" customHeight="1">
      <c r="A13" s="600" t="s">
        <v>1383</v>
      </c>
      <c r="B13" s="258" t="s">
        <v>82</v>
      </c>
      <c r="C13" s="594" t="s">
        <v>83</v>
      </c>
      <c r="D13" s="594"/>
      <c r="E13" s="39">
        <v>41</v>
      </c>
      <c r="F13" s="258">
        <v>2062</v>
      </c>
      <c r="G13" s="251">
        <f t="shared" ref="G13:G16" si="15">E13*F13</f>
        <v>84542</v>
      </c>
      <c r="H13" s="48" t="s">
        <v>126</v>
      </c>
      <c r="I13" s="256">
        <v>26</v>
      </c>
      <c r="J13" s="43">
        <v>1500</v>
      </c>
      <c r="K13" s="18">
        <f t="shared" si="1"/>
        <v>57.692307692307693</v>
      </c>
      <c r="L13" s="256">
        <v>26</v>
      </c>
      <c r="M13" s="19">
        <f t="shared" ref="M13:M16" si="16">F13/V13*60</f>
        <v>1438.6046511627912</v>
      </c>
      <c r="N13" s="18">
        <f t="shared" si="3"/>
        <v>55.330948121645818</v>
      </c>
      <c r="O13" s="20">
        <f t="shared" si="4"/>
        <v>0</v>
      </c>
      <c r="P13" s="21">
        <f t="shared" si="5"/>
        <v>-2.3613595706618753</v>
      </c>
      <c r="Q13" s="252">
        <f t="shared" si="6"/>
        <v>0.95906976744186079</v>
      </c>
      <c r="R13" s="573">
        <f>Q17</f>
        <v>0.96568768592708476</v>
      </c>
      <c r="S13" s="49">
        <v>0.20833333333333334</v>
      </c>
      <c r="T13" s="49">
        <v>0.26805555555555555</v>
      </c>
      <c r="U13" s="251"/>
      <c r="V13" s="257">
        <f t="shared" ref="V13:V16" si="17">(T13-S13)*24*60</f>
        <v>85.999999999999972</v>
      </c>
      <c r="W13" s="30"/>
      <c r="X13" s="30"/>
      <c r="Y13" s="30"/>
      <c r="Z13" s="30"/>
      <c r="AA13" s="575"/>
      <c r="AB13" s="575"/>
      <c r="AC13" s="50">
        <v>4</v>
      </c>
      <c r="AD13" s="27"/>
      <c r="AE13" s="20">
        <f t="shared" si="8"/>
        <v>-61.395348837208758</v>
      </c>
      <c r="AF13" s="252">
        <f t="shared" si="9"/>
        <v>0.95906976744186079</v>
      </c>
      <c r="AG13" s="573">
        <f>AF17</f>
        <v>0.96568768592708487</v>
      </c>
    </row>
    <row r="14" spans="1:33" ht="16.5" customHeight="1">
      <c r="A14" s="601" t="s">
        <v>1384</v>
      </c>
      <c r="B14" s="258" t="s">
        <v>74</v>
      </c>
      <c r="C14" s="594" t="s">
        <v>85</v>
      </c>
      <c r="D14" s="594"/>
      <c r="E14" s="39">
        <v>53.68</v>
      </c>
      <c r="F14" s="258">
        <v>1291</v>
      </c>
      <c r="G14" s="251">
        <f t="shared" si="15"/>
        <v>69300.88</v>
      </c>
      <c r="H14" s="48" t="s">
        <v>126</v>
      </c>
      <c r="I14" s="256">
        <v>16</v>
      </c>
      <c r="J14" s="43">
        <v>1500</v>
      </c>
      <c r="K14" s="18">
        <f t="shared" si="1"/>
        <v>93.75</v>
      </c>
      <c r="L14" s="256">
        <v>16</v>
      </c>
      <c r="M14" s="19">
        <f t="shared" si="16"/>
        <v>1434.4444444444453</v>
      </c>
      <c r="N14" s="18">
        <f t="shared" si="3"/>
        <v>89.652777777777828</v>
      </c>
      <c r="O14" s="20">
        <f t="shared" si="4"/>
        <v>0</v>
      </c>
      <c r="P14" s="21">
        <f t="shared" si="5"/>
        <v>-4.0972222222221717</v>
      </c>
      <c r="Q14" s="252">
        <f t="shared" si="6"/>
        <v>0.95629629629629687</v>
      </c>
      <c r="R14" s="573"/>
      <c r="S14" s="49">
        <v>0.70833333333333337</v>
      </c>
      <c r="T14" s="49">
        <v>0.74583333333333335</v>
      </c>
      <c r="U14" s="251" t="str">
        <f t="shared" ref="U14:U16" si="18">IF(S14=TIME(17,0,0),"",(S14-T13)*24*60)</f>
        <v/>
      </c>
      <c r="V14" s="257">
        <f t="shared" si="17"/>
        <v>53.999999999999972</v>
      </c>
      <c r="W14" s="25"/>
      <c r="X14" s="25"/>
      <c r="Y14" s="25"/>
      <c r="Z14" s="25"/>
      <c r="AA14" s="575"/>
      <c r="AB14" s="575"/>
      <c r="AC14" s="50"/>
      <c r="AD14" s="27"/>
      <c r="AE14" s="20">
        <f t="shared" si="8"/>
        <v>-65.555555555554747</v>
      </c>
      <c r="AF14" s="252">
        <f t="shared" si="9"/>
        <v>0.95629629629629687</v>
      </c>
      <c r="AG14" s="573"/>
    </row>
    <row r="15" spans="1:33" ht="16.5" customHeight="1">
      <c r="A15" s="601" t="s">
        <v>1385</v>
      </c>
      <c r="B15" s="258" t="s">
        <v>74</v>
      </c>
      <c r="C15" s="594" t="s">
        <v>86</v>
      </c>
      <c r="D15" s="594"/>
      <c r="E15" s="39">
        <v>50.92</v>
      </c>
      <c r="F15" s="258">
        <v>2161</v>
      </c>
      <c r="G15" s="251">
        <f t="shared" si="15"/>
        <v>110038.12000000001</v>
      </c>
      <c r="H15" s="48" t="s">
        <v>126</v>
      </c>
      <c r="I15" s="256">
        <v>15</v>
      </c>
      <c r="J15" s="43">
        <v>2000</v>
      </c>
      <c r="K15" s="18">
        <f t="shared" si="1"/>
        <v>133.33333333333334</v>
      </c>
      <c r="L15" s="256">
        <v>15</v>
      </c>
      <c r="M15" s="19">
        <f t="shared" si="16"/>
        <v>1906.7647058823504</v>
      </c>
      <c r="N15" s="18">
        <f t="shared" si="3"/>
        <v>127.11764705882337</v>
      </c>
      <c r="O15" s="20">
        <f t="shared" si="4"/>
        <v>0</v>
      </c>
      <c r="P15" s="21">
        <f t="shared" si="5"/>
        <v>-6.2156862745099772</v>
      </c>
      <c r="Q15" s="252">
        <f t="shared" si="6"/>
        <v>0.95338235294117513</v>
      </c>
      <c r="R15" s="573"/>
      <c r="S15" s="49">
        <v>0.75</v>
      </c>
      <c r="T15" s="49">
        <v>0.79722222222222228</v>
      </c>
      <c r="U15" s="251">
        <f t="shared" si="18"/>
        <v>5.9999999999999787</v>
      </c>
      <c r="V15" s="257">
        <f t="shared" si="17"/>
        <v>68.000000000000085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-93.235294117649573</v>
      </c>
      <c r="AF15" s="252">
        <f t="shared" si="9"/>
        <v>0.95338235294117524</v>
      </c>
      <c r="AG15" s="573"/>
    </row>
    <row r="16" spans="1:33" ht="16.5" customHeight="1">
      <c r="A16" s="601" t="s">
        <v>1386</v>
      </c>
      <c r="B16" s="258" t="s">
        <v>74</v>
      </c>
      <c r="C16" s="594" t="s">
        <v>87</v>
      </c>
      <c r="D16" s="594"/>
      <c r="E16" s="39">
        <v>57.3</v>
      </c>
      <c r="F16" s="258">
        <v>462</v>
      </c>
      <c r="G16" s="251">
        <f t="shared" si="15"/>
        <v>26472.6</v>
      </c>
      <c r="H16" s="48" t="s">
        <v>126</v>
      </c>
      <c r="I16" s="256">
        <v>13</v>
      </c>
      <c r="J16" s="43">
        <v>2000</v>
      </c>
      <c r="K16" s="18">
        <f t="shared" si="1"/>
        <v>153.84615384615384</v>
      </c>
      <c r="L16" s="256">
        <v>13</v>
      </c>
      <c r="M16" s="19">
        <f t="shared" si="16"/>
        <v>1980.0000000000068</v>
      </c>
      <c r="N16" s="18">
        <f t="shared" si="3"/>
        <v>152.30769230769283</v>
      </c>
      <c r="O16" s="20">
        <f t="shared" si="4"/>
        <v>0</v>
      </c>
      <c r="P16" s="21">
        <f t="shared" si="5"/>
        <v>-1.5384615384610072</v>
      </c>
      <c r="Q16" s="252">
        <f t="shared" si="6"/>
        <v>0.99000000000000343</v>
      </c>
      <c r="R16" s="573"/>
      <c r="S16" s="49">
        <v>0.80277777777777781</v>
      </c>
      <c r="T16" s="49">
        <v>0.8125</v>
      </c>
      <c r="U16" s="251">
        <f t="shared" si="18"/>
        <v>7.9999999999999716</v>
      </c>
      <c r="V16" s="257">
        <f t="shared" si="17"/>
        <v>13.99999999999995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-19.999999999993179</v>
      </c>
      <c r="AF16" s="252">
        <f t="shared" si="9"/>
        <v>0.99000000000000343</v>
      </c>
      <c r="AG16" s="573"/>
    </row>
    <row r="17" spans="1:33" ht="16.5" customHeight="1">
      <c r="A17" s="601" t="s">
        <v>1387</v>
      </c>
      <c r="B17" s="39" t="s">
        <v>1388</v>
      </c>
      <c r="C17" s="576"/>
      <c r="D17" s="576"/>
      <c r="E17" s="253"/>
      <c r="F17" s="42"/>
      <c r="G17" s="18"/>
      <c r="H17" s="258"/>
      <c r="I17" s="32">
        <v>17.5</v>
      </c>
      <c r="J17" s="43">
        <v>1750</v>
      </c>
      <c r="K17" s="18">
        <f t="shared" si="1"/>
        <v>100</v>
      </c>
      <c r="L17" s="32">
        <v>17.5</v>
      </c>
      <c r="M17" s="19">
        <f>AVERAGE(M13:M16)</f>
        <v>1689.9534503723985</v>
      </c>
      <c r="N17" s="18">
        <f t="shared" si="3"/>
        <v>96.56876859270848</v>
      </c>
      <c r="O17" s="20">
        <f t="shared" si="4"/>
        <v>0</v>
      </c>
      <c r="P17" s="21">
        <f t="shared" si="5"/>
        <v>-3.43123140729152</v>
      </c>
      <c r="Q17" s="252">
        <f t="shared" si="6"/>
        <v>0.96568768592708476</v>
      </c>
      <c r="R17" s="573"/>
      <c r="S17" s="49"/>
      <c r="T17" s="49"/>
      <c r="U17" s="251"/>
      <c r="V17" s="257"/>
      <c r="W17" s="18"/>
      <c r="X17" s="18"/>
      <c r="Y17" s="33">
        <f>SUM(Y13:Y16)</f>
        <v>0</v>
      </c>
      <c r="Z17" s="33">
        <f>SUM(Z13:Z16)</f>
        <v>0</v>
      </c>
      <c r="AA17" s="572"/>
      <c r="AB17" s="572"/>
      <c r="AC17" s="33">
        <v>4</v>
      </c>
      <c r="AD17" s="33">
        <f>SUM(AD13:AD16)</f>
        <v>0</v>
      </c>
      <c r="AE17" s="20">
        <f t="shared" si="8"/>
        <v>-60.046549627601507</v>
      </c>
      <c r="AF17" s="252">
        <f t="shared" si="9"/>
        <v>0.96568768592708487</v>
      </c>
      <c r="AG17" s="573"/>
    </row>
    <row r="18" spans="1:33" ht="15.75" customHeight="1">
      <c r="A18" s="596" t="s">
        <v>1389</v>
      </c>
      <c r="B18" s="39" t="s">
        <v>74</v>
      </c>
      <c r="C18" s="594" t="s">
        <v>84</v>
      </c>
      <c r="D18" s="594"/>
      <c r="E18" s="39">
        <v>54.09</v>
      </c>
      <c r="F18" s="258">
        <v>2402</v>
      </c>
      <c r="G18" s="251">
        <f t="shared" ref="G18:G23" si="19">E18*F18</f>
        <v>129924.18000000001</v>
      </c>
      <c r="H18" s="48" t="s">
        <v>126</v>
      </c>
      <c r="I18" s="256">
        <v>17</v>
      </c>
      <c r="J18" s="43">
        <v>1500</v>
      </c>
      <c r="K18" s="18">
        <f t="shared" si="1"/>
        <v>88.235294117647058</v>
      </c>
      <c r="L18" s="256">
        <v>17</v>
      </c>
      <c r="M18" s="19">
        <f t="shared" ref="M18:M23" si="20">F18/V18*60</f>
        <v>1441.2</v>
      </c>
      <c r="N18" s="18">
        <f t="shared" si="3"/>
        <v>84.776470588235298</v>
      </c>
      <c r="O18" s="20">
        <f t="shared" si="4"/>
        <v>0</v>
      </c>
      <c r="P18" s="21">
        <f t="shared" si="5"/>
        <v>-3.4588235294117595</v>
      </c>
      <c r="Q18" s="252">
        <f t="shared" si="6"/>
        <v>0.9608000000000001</v>
      </c>
      <c r="R18" s="573">
        <f>Q24</f>
        <v>0.95758737410917538</v>
      </c>
      <c r="S18" s="49">
        <v>0.20833333333333334</v>
      </c>
      <c r="T18" s="49">
        <v>0.27777777777777779</v>
      </c>
      <c r="U18" s="251"/>
      <c r="V18" s="257">
        <f t="shared" ref="V18:V23" si="21">(T18-S18)*24*60</f>
        <v>100</v>
      </c>
      <c r="W18" s="30"/>
      <c r="X18" s="30"/>
      <c r="Y18" s="30"/>
      <c r="Z18" s="30"/>
      <c r="AA18" s="575"/>
      <c r="AB18" s="575"/>
      <c r="AC18" s="50">
        <v>6</v>
      </c>
      <c r="AD18" s="27"/>
      <c r="AE18" s="20">
        <f t="shared" si="8"/>
        <v>-58.799999999999955</v>
      </c>
      <c r="AF18" s="252">
        <f t="shared" si="9"/>
        <v>0.96079999999999999</v>
      </c>
      <c r="AG18" s="573">
        <f>AF24</f>
        <v>0.95758737410917527</v>
      </c>
    </row>
    <row r="19" spans="1:33" ht="15.75" customHeight="1">
      <c r="A19" s="597" t="s">
        <v>1390</v>
      </c>
      <c r="B19" s="39" t="s">
        <v>74</v>
      </c>
      <c r="C19" s="594" t="s">
        <v>89</v>
      </c>
      <c r="D19" s="594"/>
      <c r="E19" s="39">
        <v>50.67</v>
      </c>
      <c r="F19" s="258">
        <v>2114</v>
      </c>
      <c r="G19" s="251">
        <f t="shared" si="19"/>
        <v>107116.38</v>
      </c>
      <c r="H19" s="48" t="s">
        <v>126</v>
      </c>
      <c r="I19" s="256">
        <v>17</v>
      </c>
      <c r="J19" s="43">
        <v>2000</v>
      </c>
      <c r="K19" s="18">
        <f t="shared" si="1"/>
        <v>117.64705882352941</v>
      </c>
      <c r="L19" s="256">
        <v>17</v>
      </c>
      <c r="M19" s="19">
        <f t="shared" si="20"/>
        <v>1921.818181818182</v>
      </c>
      <c r="N19" s="18">
        <f t="shared" si="3"/>
        <v>113.048128342246</v>
      </c>
      <c r="O19" s="20">
        <f t="shared" si="4"/>
        <v>0</v>
      </c>
      <c r="P19" s="21">
        <f t="shared" si="5"/>
        <v>-4.5989304812834035</v>
      </c>
      <c r="Q19" s="252">
        <f t="shared" si="6"/>
        <v>0.96090909090909105</v>
      </c>
      <c r="R19" s="573"/>
      <c r="S19" s="49">
        <v>0.28333333333333333</v>
      </c>
      <c r="T19" s="49">
        <v>0.32916666666666666</v>
      </c>
      <c r="U19" s="251">
        <f t="shared" ref="U19:U23" si="22">IF(S19=TIME(17,0,0),"",(S19-T18)*24*60)</f>
        <v>7.9999999999999716</v>
      </c>
      <c r="V19" s="257">
        <f t="shared" si="21"/>
        <v>66</v>
      </c>
      <c r="W19" s="25"/>
      <c r="X19" s="251"/>
      <c r="Y19" s="251"/>
      <c r="Z19" s="251"/>
      <c r="AA19" s="575"/>
      <c r="AB19" s="575"/>
      <c r="AC19" s="50"/>
      <c r="AD19" s="27"/>
      <c r="AE19" s="20">
        <f t="shared" si="8"/>
        <v>-78.181818181818016</v>
      </c>
      <c r="AF19" s="252">
        <f t="shared" si="9"/>
        <v>0.96090909090909105</v>
      </c>
      <c r="AG19" s="573"/>
    </row>
    <row r="20" spans="1:33" ht="15.75" customHeight="1">
      <c r="A20" s="597" t="s">
        <v>1391</v>
      </c>
      <c r="B20" s="39" t="s">
        <v>74</v>
      </c>
      <c r="C20" s="594" t="s">
        <v>90</v>
      </c>
      <c r="D20" s="594"/>
      <c r="E20" s="39">
        <v>57.73</v>
      </c>
      <c r="F20" s="258">
        <v>2202</v>
      </c>
      <c r="G20" s="251">
        <f t="shared" si="19"/>
        <v>127121.45999999999</v>
      </c>
      <c r="H20" s="48" t="s">
        <v>126</v>
      </c>
      <c r="I20" s="256">
        <v>14</v>
      </c>
      <c r="J20" s="43">
        <v>2000</v>
      </c>
      <c r="K20" s="18">
        <f t="shared" si="1"/>
        <v>142.85714285714286</v>
      </c>
      <c r="L20" s="256">
        <v>14</v>
      </c>
      <c r="M20" s="19">
        <f t="shared" si="20"/>
        <v>1914.7826086956522</v>
      </c>
      <c r="N20" s="18">
        <f t="shared" si="3"/>
        <v>136.77018633540374</v>
      </c>
      <c r="O20" s="20">
        <f t="shared" si="4"/>
        <v>0</v>
      </c>
      <c r="P20" s="21">
        <f t="shared" si="5"/>
        <v>-6.0869565217391255</v>
      </c>
      <c r="Q20" s="252">
        <f t="shared" si="6"/>
        <v>0.95739130434782616</v>
      </c>
      <c r="R20" s="573"/>
      <c r="S20" s="49">
        <v>0.33402777777777776</v>
      </c>
      <c r="T20" s="49">
        <v>0.38194444444444442</v>
      </c>
      <c r="U20" s="251">
        <f t="shared" si="22"/>
        <v>6.9999999999999751</v>
      </c>
      <c r="V20" s="257">
        <f t="shared" si="21"/>
        <v>69</v>
      </c>
      <c r="W20" s="25"/>
      <c r="X20" s="251"/>
      <c r="Y20" s="251"/>
      <c r="Z20" s="251"/>
      <c r="AA20" s="575"/>
      <c r="AB20" s="575"/>
      <c r="AC20" s="50"/>
      <c r="AD20" s="27"/>
      <c r="AE20" s="20">
        <f t="shared" si="8"/>
        <v>-85.217391304347757</v>
      </c>
      <c r="AF20" s="252">
        <f t="shared" si="9"/>
        <v>0.95739130434782616</v>
      </c>
      <c r="AG20" s="573"/>
    </row>
    <row r="21" spans="1:33" ht="15.75" customHeight="1">
      <c r="A21" s="597" t="s">
        <v>1392</v>
      </c>
      <c r="B21" s="39" t="s">
        <v>74</v>
      </c>
      <c r="C21" s="594" t="s">
        <v>1232</v>
      </c>
      <c r="D21" s="594"/>
      <c r="E21" s="39">
        <v>53.27</v>
      </c>
      <c r="F21" s="258">
        <v>3328</v>
      </c>
      <c r="G21" s="251">
        <f t="shared" si="19"/>
        <v>177282.56</v>
      </c>
      <c r="H21" s="48" t="s">
        <v>126</v>
      </c>
      <c r="I21" s="256">
        <v>16</v>
      </c>
      <c r="J21" s="43">
        <v>2000</v>
      </c>
      <c r="K21" s="18">
        <f t="shared" si="1"/>
        <v>125</v>
      </c>
      <c r="L21" s="256">
        <v>16</v>
      </c>
      <c r="M21" s="19">
        <f t="shared" si="20"/>
        <v>1901.7142857142851</v>
      </c>
      <c r="N21" s="18">
        <f t="shared" si="3"/>
        <v>118.85714285714282</v>
      </c>
      <c r="O21" s="20">
        <f t="shared" si="4"/>
        <v>0</v>
      </c>
      <c r="P21" s="21">
        <f t="shared" si="5"/>
        <v>-6.1428571428571814</v>
      </c>
      <c r="Q21" s="252">
        <f t="shared" si="6"/>
        <v>0.95085714285714251</v>
      </c>
      <c r="R21" s="573"/>
      <c r="S21" s="49">
        <v>0.38611111111111107</v>
      </c>
      <c r="T21" s="49">
        <v>0.45902777777777776</v>
      </c>
      <c r="U21" s="251">
        <f t="shared" si="22"/>
        <v>5.9999999999999787</v>
      </c>
      <c r="V21" s="257">
        <f t="shared" si="21"/>
        <v>105.00000000000003</v>
      </c>
      <c r="W21" s="25"/>
      <c r="X21" s="251"/>
      <c r="Y21" s="251"/>
      <c r="Z21" s="251"/>
      <c r="AA21" s="575"/>
      <c r="AB21" s="575"/>
      <c r="AC21" s="50"/>
      <c r="AD21" s="27"/>
      <c r="AE21" s="20">
        <f t="shared" si="8"/>
        <v>-98.285714285714903</v>
      </c>
      <c r="AF21" s="252">
        <f t="shared" si="9"/>
        <v>0.95085714285714251</v>
      </c>
      <c r="AG21" s="573"/>
    </row>
    <row r="22" spans="1:33" ht="15.75" customHeight="1">
      <c r="A22" s="597" t="s">
        <v>1393</v>
      </c>
      <c r="B22" s="39" t="s">
        <v>74</v>
      </c>
      <c r="C22" s="594" t="s">
        <v>92</v>
      </c>
      <c r="D22" s="594"/>
      <c r="E22" s="39">
        <v>50.49</v>
      </c>
      <c r="F22" s="258">
        <v>2123</v>
      </c>
      <c r="G22" s="251">
        <f t="shared" si="19"/>
        <v>107190.27</v>
      </c>
      <c r="H22" s="48" t="s">
        <v>126</v>
      </c>
      <c r="I22" s="256">
        <v>15</v>
      </c>
      <c r="J22" s="43">
        <v>2000</v>
      </c>
      <c r="K22" s="18">
        <f t="shared" si="1"/>
        <v>133.33333333333334</v>
      </c>
      <c r="L22" s="256">
        <v>15</v>
      </c>
      <c r="M22" s="19">
        <f t="shared" si="20"/>
        <v>1930.000000000002</v>
      </c>
      <c r="N22" s="18">
        <f t="shared" si="3"/>
        <v>128.6666666666668</v>
      </c>
      <c r="O22" s="20">
        <f t="shared" si="4"/>
        <v>0</v>
      </c>
      <c r="P22" s="21">
        <f t="shared" si="5"/>
        <v>-4.6666666666665435</v>
      </c>
      <c r="Q22" s="252">
        <f t="shared" si="6"/>
        <v>0.96500000000000097</v>
      </c>
      <c r="R22" s="573"/>
      <c r="S22" s="49">
        <v>0.70833333333333337</v>
      </c>
      <c r="T22" s="49">
        <v>0.75416666666666665</v>
      </c>
      <c r="U22" s="251" t="str">
        <f t="shared" si="22"/>
        <v/>
      </c>
      <c r="V22" s="257">
        <f t="shared" si="21"/>
        <v>65.999999999999929</v>
      </c>
      <c r="W22" s="25"/>
      <c r="X22" s="25"/>
      <c r="Y22" s="251"/>
      <c r="Z22" s="251"/>
      <c r="AA22" s="575"/>
      <c r="AB22" s="575"/>
      <c r="AC22" s="50"/>
      <c r="AD22" s="27"/>
      <c r="AE22" s="20">
        <f t="shared" si="8"/>
        <v>-69.999999999997954</v>
      </c>
      <c r="AF22" s="252">
        <f t="shared" si="9"/>
        <v>0.96500000000000097</v>
      </c>
      <c r="AG22" s="573"/>
    </row>
    <row r="23" spans="1:33" ht="15.75" customHeight="1">
      <c r="A23" s="597" t="s">
        <v>1394</v>
      </c>
      <c r="B23" s="39" t="s">
        <v>74</v>
      </c>
      <c r="C23" s="594" t="s">
        <v>93</v>
      </c>
      <c r="D23" s="594"/>
      <c r="E23" s="39">
        <v>50.98</v>
      </c>
      <c r="F23" s="258">
        <v>2315</v>
      </c>
      <c r="G23" s="251">
        <f t="shared" si="19"/>
        <v>118018.7</v>
      </c>
      <c r="H23" s="48" t="s">
        <v>126</v>
      </c>
      <c r="I23" s="256">
        <v>16</v>
      </c>
      <c r="J23" s="43">
        <v>2000</v>
      </c>
      <c r="K23" s="18">
        <f t="shared" si="1"/>
        <v>125</v>
      </c>
      <c r="L23" s="256">
        <v>16</v>
      </c>
      <c r="M23" s="19">
        <f t="shared" si="20"/>
        <v>1902.7397260273958</v>
      </c>
      <c r="N23" s="18">
        <f t="shared" si="3"/>
        <v>118.92123287671224</v>
      </c>
      <c r="O23" s="20">
        <f t="shared" si="4"/>
        <v>0</v>
      </c>
      <c r="P23" s="21">
        <f t="shared" si="5"/>
        <v>-6.0787671232877614</v>
      </c>
      <c r="Q23" s="252">
        <f t="shared" si="6"/>
        <v>0.95136986301369786</v>
      </c>
      <c r="R23" s="573"/>
      <c r="S23" s="49">
        <v>0.7583333333333333</v>
      </c>
      <c r="T23" s="49">
        <v>0.80902777777777779</v>
      </c>
      <c r="U23" s="251">
        <f t="shared" si="22"/>
        <v>5.9999999999999787</v>
      </c>
      <c r="V23" s="257">
        <f t="shared" si="21"/>
        <v>73.000000000000057</v>
      </c>
      <c r="W23" s="25"/>
      <c r="X23" s="30"/>
      <c r="Y23" s="30"/>
      <c r="Z23" s="30"/>
      <c r="AA23" s="575"/>
      <c r="AB23" s="575"/>
      <c r="AC23" s="50"/>
      <c r="AD23" s="27"/>
      <c r="AE23" s="20">
        <f t="shared" si="8"/>
        <v>-97.260273972604182</v>
      </c>
      <c r="AF23" s="252">
        <f t="shared" si="9"/>
        <v>0.95136986301369786</v>
      </c>
      <c r="AG23" s="573"/>
    </row>
    <row r="24" spans="1:33" ht="15.75" customHeight="1">
      <c r="A24" s="597" t="s">
        <v>1393</v>
      </c>
      <c r="B24" s="39" t="s">
        <v>1395</v>
      </c>
      <c r="C24" s="576"/>
      <c r="D24" s="576"/>
      <c r="E24" s="253"/>
      <c r="F24" s="258"/>
      <c r="G24" s="251"/>
      <c r="H24" s="258"/>
      <c r="I24" s="32">
        <v>15.833333333333334</v>
      </c>
      <c r="J24" s="43">
        <v>1916.6666666666667</v>
      </c>
      <c r="K24" s="18">
        <f t="shared" si="1"/>
        <v>121.05263157894737</v>
      </c>
      <c r="L24" s="32">
        <v>15.833333333333334</v>
      </c>
      <c r="M24" s="19">
        <f>AVERAGE(M18:M23)</f>
        <v>1835.3758003759194</v>
      </c>
      <c r="N24" s="18">
        <f t="shared" si="3"/>
        <v>115.91847160268965</v>
      </c>
      <c r="O24" s="20">
        <f t="shared" si="4"/>
        <v>0</v>
      </c>
      <c r="P24" s="21">
        <f t="shared" si="5"/>
        <v>-5.1341599762577204</v>
      </c>
      <c r="Q24" s="252">
        <f t="shared" si="6"/>
        <v>0.95758737410917538</v>
      </c>
      <c r="R24" s="573"/>
      <c r="S24" s="49"/>
      <c r="T24" s="49"/>
      <c r="U24" s="18"/>
      <c r="V24" s="257"/>
      <c r="W24" s="18"/>
      <c r="X24" s="18"/>
      <c r="Y24" s="33">
        <f>SUM(Y18:Y23)</f>
        <v>0</v>
      </c>
      <c r="Z24" s="33">
        <f>SUM(Z18:Z23)</f>
        <v>0</v>
      </c>
      <c r="AA24" s="572"/>
      <c r="AB24" s="572"/>
      <c r="AC24" s="33">
        <v>6</v>
      </c>
      <c r="AD24" s="33">
        <f>SUM(AD18:AD23)</f>
        <v>0</v>
      </c>
      <c r="AE24" s="20">
        <f t="shared" si="8"/>
        <v>-81.290866290747317</v>
      </c>
      <c r="AF24" s="252">
        <f t="shared" si="9"/>
        <v>0.95758737410917527</v>
      </c>
      <c r="AG24" s="573"/>
    </row>
    <row r="25" spans="1:33" ht="15.75" customHeight="1">
      <c r="A25" s="595" t="s">
        <v>1396</v>
      </c>
      <c r="B25" s="39" t="s">
        <v>94</v>
      </c>
      <c r="C25" s="594" t="s">
        <v>95</v>
      </c>
      <c r="D25" s="594"/>
      <c r="E25" s="39">
        <v>31.29</v>
      </c>
      <c r="F25" s="258">
        <v>5600</v>
      </c>
      <c r="G25" s="251">
        <f t="shared" ref="G25:G32" si="23">E25*F25</f>
        <v>175224</v>
      </c>
      <c r="H25" s="48">
        <v>2</v>
      </c>
      <c r="I25" s="256">
        <v>18</v>
      </c>
      <c r="J25" s="43">
        <v>2400</v>
      </c>
      <c r="K25" s="18">
        <f t="shared" si="1"/>
        <v>133.33333333333334</v>
      </c>
      <c r="L25" s="256">
        <v>18</v>
      </c>
      <c r="M25" s="19">
        <f t="shared" ref="M25:M32" si="24">F25/V25*60</f>
        <v>2285.7142857142858</v>
      </c>
      <c r="N25" s="18">
        <f t="shared" si="3"/>
        <v>126.98412698412699</v>
      </c>
      <c r="O25" s="20">
        <f t="shared" si="4"/>
        <v>0</v>
      </c>
      <c r="P25" s="21">
        <f t="shared" si="5"/>
        <v>-6.3492063492063551</v>
      </c>
      <c r="Q25" s="252">
        <f t="shared" si="6"/>
        <v>0.95238095238095233</v>
      </c>
      <c r="R25" s="573">
        <f>Q33</f>
        <v>0.95639919025731424</v>
      </c>
      <c r="S25" s="49">
        <v>8.3333333333333329E-2</v>
      </c>
      <c r="T25" s="49">
        <v>0.18541666666666667</v>
      </c>
      <c r="U25" s="251"/>
      <c r="V25" s="257">
        <f t="shared" ref="V25:V32" si="25">(T25-S25)*24*60</f>
        <v>147</v>
      </c>
      <c r="W25" s="25">
        <f>T25</f>
        <v>0.18541666666666667</v>
      </c>
      <c r="X25" s="25">
        <f>S26</f>
        <v>0.20555555555555557</v>
      </c>
      <c r="Y25" s="25"/>
      <c r="Z25" s="25"/>
      <c r="AA25" s="575"/>
      <c r="AB25" s="575"/>
      <c r="AC25" s="50">
        <v>8</v>
      </c>
      <c r="AD25" s="27"/>
      <c r="AE25" s="20">
        <f t="shared" si="8"/>
        <v>-114.28571428571422</v>
      </c>
      <c r="AF25" s="252">
        <f t="shared" si="9"/>
        <v>0.95238095238095244</v>
      </c>
      <c r="AG25" s="573">
        <f>AF33</f>
        <v>0.95639919025731424</v>
      </c>
    </row>
    <row r="26" spans="1:33" ht="15.75" customHeight="1">
      <c r="A26" s="595" t="s">
        <v>1397</v>
      </c>
      <c r="B26" s="39" t="s">
        <v>94</v>
      </c>
      <c r="C26" s="594" t="s">
        <v>97</v>
      </c>
      <c r="D26" s="594"/>
      <c r="E26" s="39">
        <v>26.37</v>
      </c>
      <c r="F26" s="258">
        <v>4600</v>
      </c>
      <c r="G26" s="251">
        <f t="shared" si="23"/>
        <v>121302</v>
      </c>
      <c r="H26" s="48">
        <v>2</v>
      </c>
      <c r="I26" s="256">
        <v>18</v>
      </c>
      <c r="J26" s="43">
        <v>2400</v>
      </c>
      <c r="K26" s="18">
        <f t="shared" si="1"/>
        <v>133.33333333333334</v>
      </c>
      <c r="L26" s="256">
        <v>18</v>
      </c>
      <c r="M26" s="19">
        <f t="shared" si="24"/>
        <v>2300</v>
      </c>
      <c r="N26" s="18">
        <f t="shared" si="3"/>
        <v>127.77777777777777</v>
      </c>
      <c r="O26" s="20">
        <f t="shared" si="4"/>
        <v>0</v>
      </c>
      <c r="P26" s="21">
        <f t="shared" si="5"/>
        <v>-5.5555555555555713</v>
      </c>
      <c r="Q26" s="252">
        <f t="shared" si="6"/>
        <v>0.95833333333333326</v>
      </c>
      <c r="R26" s="573"/>
      <c r="S26" s="49">
        <v>0.20555555555555557</v>
      </c>
      <c r="T26" s="49">
        <v>0.28888888888888892</v>
      </c>
      <c r="U26" s="251">
        <f t="shared" ref="U26:U32" si="26">(S26-T25)*24*60</f>
        <v>29.000000000000018</v>
      </c>
      <c r="V26" s="257">
        <f t="shared" si="25"/>
        <v>120</v>
      </c>
      <c r="W26" s="25"/>
      <c r="X26" s="25"/>
      <c r="Y26" s="25"/>
      <c r="Z26" s="25"/>
      <c r="AA26" s="575"/>
      <c r="AB26" s="575"/>
      <c r="AC26" s="50"/>
      <c r="AD26" s="27"/>
      <c r="AE26" s="20">
        <f t="shared" si="8"/>
        <v>-100</v>
      </c>
      <c r="AF26" s="252">
        <f t="shared" si="9"/>
        <v>0.95833333333333337</v>
      </c>
      <c r="AG26" s="573"/>
    </row>
    <row r="27" spans="1:33" ht="15.75" customHeight="1">
      <c r="A27" s="595" t="s">
        <v>1398</v>
      </c>
      <c r="B27" s="39" t="s">
        <v>94</v>
      </c>
      <c r="C27" s="594" t="s">
        <v>529</v>
      </c>
      <c r="D27" s="594"/>
      <c r="E27" s="39">
        <v>26.18</v>
      </c>
      <c r="F27" s="258">
        <v>4200</v>
      </c>
      <c r="G27" s="251">
        <f t="shared" si="23"/>
        <v>109956</v>
      </c>
      <c r="H27" s="48">
        <v>2</v>
      </c>
      <c r="I27" s="256">
        <v>19</v>
      </c>
      <c r="J27" s="43">
        <v>2400</v>
      </c>
      <c r="K27" s="18">
        <f t="shared" si="1"/>
        <v>126.31578947368421</v>
      </c>
      <c r="L27" s="256">
        <v>19</v>
      </c>
      <c r="M27" s="19">
        <f t="shared" si="24"/>
        <v>2290.909090909091</v>
      </c>
      <c r="N27" s="18">
        <f t="shared" si="3"/>
        <v>120.57416267942584</v>
      </c>
      <c r="O27" s="20">
        <f t="shared" si="4"/>
        <v>0</v>
      </c>
      <c r="P27" s="21">
        <f t="shared" si="5"/>
        <v>-5.7416267942583659</v>
      </c>
      <c r="Q27" s="252">
        <f t="shared" si="6"/>
        <v>0.95454545454545459</v>
      </c>
      <c r="R27" s="573"/>
      <c r="S27" s="49">
        <v>0.29444444444444445</v>
      </c>
      <c r="T27" s="49">
        <v>0.37083333333333335</v>
      </c>
      <c r="U27" s="251">
        <f t="shared" si="26"/>
        <v>7.9999999999999716</v>
      </c>
      <c r="V27" s="257">
        <f t="shared" si="25"/>
        <v>110.00000000000001</v>
      </c>
      <c r="W27" s="25"/>
      <c r="X27" s="25"/>
      <c r="Y27" s="25"/>
      <c r="Z27" s="25"/>
      <c r="AA27" s="575"/>
      <c r="AB27" s="575"/>
      <c r="AC27" s="50"/>
      <c r="AD27" s="27"/>
      <c r="AE27" s="20">
        <f t="shared" si="8"/>
        <v>-109.09090909090901</v>
      </c>
      <c r="AF27" s="252">
        <f t="shared" si="9"/>
        <v>0.95454545454545459</v>
      </c>
      <c r="AG27" s="573"/>
    </row>
    <row r="28" spans="1:33" ht="15.75" customHeight="1">
      <c r="A28" s="595" t="s">
        <v>1399</v>
      </c>
      <c r="B28" s="39" t="s">
        <v>94</v>
      </c>
      <c r="C28" s="594" t="s">
        <v>103</v>
      </c>
      <c r="D28" s="594"/>
      <c r="E28" s="39">
        <v>20.2</v>
      </c>
      <c r="F28" s="258">
        <v>2281</v>
      </c>
      <c r="G28" s="251">
        <f t="shared" si="23"/>
        <v>46076.2</v>
      </c>
      <c r="H28" s="48" t="s">
        <v>126</v>
      </c>
      <c r="I28" s="256">
        <v>15</v>
      </c>
      <c r="J28" s="43">
        <v>2400</v>
      </c>
      <c r="K28" s="18">
        <f t="shared" si="1"/>
        <v>160</v>
      </c>
      <c r="L28" s="256">
        <v>15</v>
      </c>
      <c r="M28" s="19">
        <f t="shared" si="24"/>
        <v>2319.6610169491514</v>
      </c>
      <c r="N28" s="18">
        <f t="shared" si="3"/>
        <v>154.6440677966101</v>
      </c>
      <c r="O28" s="20">
        <f t="shared" si="4"/>
        <v>0</v>
      </c>
      <c r="P28" s="21">
        <f t="shared" si="5"/>
        <v>-5.3559322033898979</v>
      </c>
      <c r="Q28" s="252">
        <f t="shared" si="6"/>
        <v>0.96652542372881312</v>
      </c>
      <c r="R28" s="573"/>
      <c r="S28" s="49">
        <v>0.37430555555555556</v>
      </c>
      <c r="T28" s="49">
        <v>0.4152777777777778</v>
      </c>
      <c r="U28" s="251">
        <f t="shared" si="26"/>
        <v>4.9999999999999822</v>
      </c>
      <c r="V28" s="257">
        <f t="shared" si="25"/>
        <v>59.000000000000028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-80.338983050848583</v>
      </c>
      <c r="AF28" s="252">
        <f t="shared" si="9"/>
        <v>0.96652542372881312</v>
      </c>
      <c r="AG28" s="573"/>
    </row>
    <row r="29" spans="1:33" ht="15.75" customHeight="1">
      <c r="A29" s="595" t="s">
        <v>1400</v>
      </c>
      <c r="B29" s="39" t="s">
        <v>94</v>
      </c>
      <c r="C29" s="594" t="s">
        <v>98</v>
      </c>
      <c r="D29" s="594"/>
      <c r="E29" s="39">
        <v>25.99</v>
      </c>
      <c r="F29" s="258">
        <v>4388</v>
      </c>
      <c r="G29" s="251">
        <f t="shared" si="23"/>
        <v>114044.12</v>
      </c>
      <c r="H29" s="48" t="s">
        <v>126</v>
      </c>
      <c r="I29" s="256">
        <v>14</v>
      </c>
      <c r="J29" s="43">
        <v>2400</v>
      </c>
      <c r="K29" s="18">
        <f t="shared" si="1"/>
        <v>171.42857142857142</v>
      </c>
      <c r="L29" s="256">
        <v>14</v>
      </c>
      <c r="M29" s="19">
        <f t="shared" si="24"/>
        <v>2289.3913043478265</v>
      </c>
      <c r="N29" s="18">
        <f t="shared" si="3"/>
        <v>163.52795031055902</v>
      </c>
      <c r="O29" s="20">
        <f t="shared" si="4"/>
        <v>0</v>
      </c>
      <c r="P29" s="21">
        <f t="shared" si="5"/>
        <v>-7.9006211180123955</v>
      </c>
      <c r="Q29" s="252">
        <f t="shared" si="6"/>
        <v>0.953913043478261</v>
      </c>
      <c r="R29" s="573"/>
      <c r="S29" s="49">
        <v>0.41944444444444445</v>
      </c>
      <c r="T29" s="49">
        <v>0.49930555555555556</v>
      </c>
      <c r="U29" s="251">
        <f t="shared" si="26"/>
        <v>5.9999999999999787</v>
      </c>
      <c r="V29" s="257">
        <f t="shared" si="25"/>
        <v>114.99999999999999</v>
      </c>
      <c r="W29" s="25">
        <f>T29</f>
        <v>0.49930555555555556</v>
      </c>
      <c r="X29" s="25">
        <f>S30</f>
        <v>0.53819444444444442</v>
      </c>
      <c r="Y29" s="25"/>
      <c r="Z29" s="25"/>
      <c r="AA29" s="575"/>
      <c r="AB29" s="575"/>
      <c r="AC29" s="50"/>
      <c r="AD29" s="27"/>
      <c r="AE29" s="20">
        <f t="shared" si="8"/>
        <v>-110.60869565217354</v>
      </c>
      <c r="AF29" s="252">
        <f t="shared" si="9"/>
        <v>0.953913043478261</v>
      </c>
      <c r="AG29" s="573"/>
    </row>
    <row r="30" spans="1:33" ht="15.75" customHeight="1">
      <c r="A30" s="595" t="s">
        <v>1401</v>
      </c>
      <c r="B30" s="39" t="s">
        <v>94</v>
      </c>
      <c r="C30" s="594" t="s">
        <v>95</v>
      </c>
      <c r="D30" s="594"/>
      <c r="E30" s="39">
        <v>31.29</v>
      </c>
      <c r="F30" s="258">
        <v>3784</v>
      </c>
      <c r="G30" s="251">
        <f t="shared" si="23"/>
        <v>118401.36</v>
      </c>
      <c r="H30" s="48" t="s">
        <v>126</v>
      </c>
      <c r="I30" s="256">
        <v>18</v>
      </c>
      <c r="J30" s="43">
        <v>2400</v>
      </c>
      <c r="K30" s="18">
        <f t="shared" si="1"/>
        <v>133.33333333333334</v>
      </c>
      <c r="L30" s="256">
        <v>18</v>
      </c>
      <c r="M30" s="19">
        <f t="shared" si="24"/>
        <v>2293.3333333333339</v>
      </c>
      <c r="N30" s="18">
        <f t="shared" si="3"/>
        <v>127.40740740740745</v>
      </c>
      <c r="O30" s="20">
        <f t="shared" si="4"/>
        <v>0</v>
      </c>
      <c r="P30" s="21">
        <f t="shared" si="5"/>
        <v>-5.9259259259258954</v>
      </c>
      <c r="Q30" s="252">
        <f t="shared" si="6"/>
        <v>0.95555555555555582</v>
      </c>
      <c r="R30" s="573"/>
      <c r="S30" s="49">
        <v>0.53819444444444442</v>
      </c>
      <c r="T30" s="49">
        <v>0.6069444444444444</v>
      </c>
      <c r="U30" s="251">
        <f t="shared" si="26"/>
        <v>55.999999999999957</v>
      </c>
      <c r="V30" s="257">
        <f t="shared" si="25"/>
        <v>98.999999999999972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-106.66666666666606</v>
      </c>
      <c r="AF30" s="252">
        <f t="shared" si="9"/>
        <v>0.95555555555555582</v>
      </c>
      <c r="AG30" s="573"/>
    </row>
    <row r="31" spans="1:33" ht="15.75" customHeight="1">
      <c r="A31" s="595" t="s">
        <v>1399</v>
      </c>
      <c r="B31" s="39" t="s">
        <v>94</v>
      </c>
      <c r="C31" s="594" t="s">
        <v>97</v>
      </c>
      <c r="D31" s="594"/>
      <c r="E31" s="39">
        <v>26.37</v>
      </c>
      <c r="F31" s="258">
        <v>3173</v>
      </c>
      <c r="G31" s="251">
        <f t="shared" si="23"/>
        <v>83672.010000000009</v>
      </c>
      <c r="H31" s="48" t="s">
        <v>126</v>
      </c>
      <c r="I31" s="256">
        <v>18</v>
      </c>
      <c r="J31" s="43">
        <v>2400</v>
      </c>
      <c r="K31" s="18">
        <f t="shared" si="1"/>
        <v>133.33333333333334</v>
      </c>
      <c r="L31" s="256">
        <v>18</v>
      </c>
      <c r="M31" s="19">
        <f t="shared" si="24"/>
        <v>2293.7349397590356</v>
      </c>
      <c r="N31" s="18">
        <f t="shared" si="3"/>
        <v>127.42971887550198</v>
      </c>
      <c r="O31" s="20">
        <f t="shared" si="4"/>
        <v>0</v>
      </c>
      <c r="P31" s="21">
        <f t="shared" si="5"/>
        <v>-5.9036144578313667</v>
      </c>
      <c r="Q31" s="252">
        <f t="shared" si="6"/>
        <v>0.95572289156626478</v>
      </c>
      <c r="R31" s="573"/>
      <c r="S31" s="49">
        <v>0.61041666666666661</v>
      </c>
      <c r="T31" s="49">
        <v>0.66805555555555551</v>
      </c>
      <c r="U31" s="251">
        <f t="shared" si="26"/>
        <v>4.9999999999999822</v>
      </c>
      <c r="V31" s="257">
        <f t="shared" si="25"/>
        <v>83.000000000000028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-106.26506024096443</v>
      </c>
      <c r="AF31" s="252">
        <f t="shared" si="9"/>
        <v>0.95572289156626478</v>
      </c>
      <c r="AG31" s="573"/>
    </row>
    <row r="32" spans="1:33" ht="15.75" customHeight="1">
      <c r="A32" s="595" t="s">
        <v>1402</v>
      </c>
      <c r="B32" s="39" t="s">
        <v>94</v>
      </c>
      <c r="C32" s="254" t="s">
        <v>529</v>
      </c>
      <c r="D32" s="255"/>
      <c r="E32" s="39">
        <v>26.18</v>
      </c>
      <c r="F32" s="258">
        <v>3168</v>
      </c>
      <c r="G32" s="251">
        <f t="shared" si="23"/>
        <v>82938.240000000005</v>
      </c>
      <c r="H32" s="48" t="s">
        <v>126</v>
      </c>
      <c r="I32" s="256">
        <v>19</v>
      </c>
      <c r="J32" s="43">
        <v>2400</v>
      </c>
      <c r="K32" s="18">
        <f t="shared" si="1"/>
        <v>126.31578947368421</v>
      </c>
      <c r="L32" s="256">
        <v>19</v>
      </c>
      <c r="M32" s="19">
        <f t="shared" si="24"/>
        <v>2290.12048192771</v>
      </c>
      <c r="N32" s="18">
        <f t="shared" si="3"/>
        <v>120.53265694356368</v>
      </c>
      <c r="O32" s="20">
        <f t="shared" si="4"/>
        <v>0</v>
      </c>
      <c r="P32" s="21">
        <f t="shared" si="5"/>
        <v>-5.7831325301205254</v>
      </c>
      <c r="Q32" s="252">
        <f t="shared" si="6"/>
        <v>0.95421686746987922</v>
      </c>
      <c r="R32" s="573"/>
      <c r="S32" s="49">
        <v>0.67152777777777772</v>
      </c>
      <c r="T32" s="49">
        <v>0.72916666666666663</v>
      </c>
      <c r="U32" s="251">
        <f t="shared" si="26"/>
        <v>4.9999999999999822</v>
      </c>
      <c r="V32" s="257">
        <f t="shared" si="25"/>
        <v>83.000000000000028</v>
      </c>
      <c r="W32" s="25"/>
      <c r="X32" s="25"/>
      <c r="Y32" s="25"/>
      <c r="Z32" s="25"/>
      <c r="AA32" s="247"/>
      <c r="AB32" s="248"/>
      <c r="AC32" s="50"/>
      <c r="AD32" s="27"/>
      <c r="AE32" s="20">
        <f t="shared" si="8"/>
        <v>-109.87951807229001</v>
      </c>
      <c r="AF32" s="252">
        <f t="shared" si="9"/>
        <v>0.95421686746987922</v>
      </c>
      <c r="AG32" s="573"/>
    </row>
    <row r="33" spans="1:33" ht="15.75" customHeight="1">
      <c r="A33" s="595" t="s">
        <v>1403</v>
      </c>
      <c r="B33" s="39" t="s">
        <v>1404</v>
      </c>
      <c r="C33" s="576"/>
      <c r="D33" s="576"/>
      <c r="E33" s="253"/>
      <c r="F33" s="258"/>
      <c r="G33" s="251"/>
      <c r="H33" s="258"/>
      <c r="I33" s="32">
        <v>17.375</v>
      </c>
      <c r="J33" s="43">
        <v>2400</v>
      </c>
      <c r="K33" s="18">
        <f t="shared" si="1"/>
        <v>138.12949640287769</v>
      </c>
      <c r="L33" s="32">
        <v>17.375</v>
      </c>
      <c r="M33" s="19">
        <f>AVERAGE(M25:M32)</f>
        <v>2295.3580566175542</v>
      </c>
      <c r="N33" s="18">
        <f t="shared" si="3"/>
        <v>132.10693851036282</v>
      </c>
      <c r="O33" s="20">
        <f t="shared" si="4"/>
        <v>0</v>
      </c>
      <c r="P33" s="21">
        <f t="shared" si="5"/>
        <v>-6.0225578925148682</v>
      </c>
      <c r="Q33" s="252">
        <f t="shared" si="6"/>
        <v>0.95639919025731424</v>
      </c>
      <c r="R33" s="573"/>
      <c r="S33" s="49"/>
      <c r="T33" s="49"/>
      <c r="U33" s="251"/>
      <c r="V33" s="257"/>
      <c r="W33" s="251"/>
      <c r="X33" s="251"/>
      <c r="Y33" s="33">
        <f>SUM(Y25:Y32)</f>
        <v>0</v>
      </c>
      <c r="Z33" s="33">
        <f>SUM(Z25:Z32)</f>
        <v>0</v>
      </c>
      <c r="AA33" s="572"/>
      <c r="AB33" s="572"/>
      <c r="AC33" s="33">
        <v>8</v>
      </c>
      <c r="AD33" s="33">
        <f>SUM(AD25:AD32)</f>
        <v>0</v>
      </c>
      <c r="AE33" s="20">
        <f t="shared" si="8"/>
        <v>-104.64194338244579</v>
      </c>
      <c r="AF33" s="252">
        <f t="shared" si="9"/>
        <v>0.95639919025731424</v>
      </c>
      <c r="AG33" s="573"/>
    </row>
    <row r="34" spans="1:33" ht="15.75" customHeight="1">
      <c r="A34" s="592" t="s">
        <v>1405</v>
      </c>
      <c r="B34" s="39" t="s">
        <v>94</v>
      </c>
      <c r="C34" s="574" t="s">
        <v>530</v>
      </c>
      <c r="D34" s="574"/>
      <c r="E34" s="39">
        <v>26.18</v>
      </c>
      <c r="F34" s="258">
        <v>3200</v>
      </c>
      <c r="G34" s="251">
        <f t="shared" ref="G34:G39" si="27">E34*F34</f>
        <v>83776</v>
      </c>
      <c r="H34" s="48">
        <v>2</v>
      </c>
      <c r="I34" s="256">
        <v>21</v>
      </c>
      <c r="J34" s="43">
        <v>2400</v>
      </c>
      <c r="K34" s="18">
        <f t="shared" si="1"/>
        <v>114.28571428571429</v>
      </c>
      <c r="L34" s="256">
        <v>21</v>
      </c>
      <c r="M34" s="19">
        <f t="shared" ref="M34:M39" si="28">F34/V34*60</f>
        <v>2285.7142857142858</v>
      </c>
      <c r="N34" s="18">
        <f t="shared" si="3"/>
        <v>108.84353741496599</v>
      </c>
      <c r="O34" s="20">
        <f t="shared" si="4"/>
        <v>0</v>
      </c>
      <c r="P34" s="21">
        <f t="shared" si="5"/>
        <v>-5.4421768707482983</v>
      </c>
      <c r="Q34" s="252">
        <f t="shared" si="6"/>
        <v>0.95238095238095244</v>
      </c>
      <c r="R34" s="573">
        <f>Q40</f>
        <v>0.95463595383982314</v>
      </c>
      <c r="S34" s="49">
        <v>8.3333333333333329E-2</v>
      </c>
      <c r="T34" s="49">
        <v>0.14166666666666666</v>
      </c>
      <c r="U34" s="251"/>
      <c r="V34" s="257">
        <f t="shared" ref="V34:V39" si="29">(T34-S34)*24*60</f>
        <v>84</v>
      </c>
      <c r="W34" s="30">
        <f>T34</f>
        <v>0.14166666666666666</v>
      </c>
      <c r="X34" s="30">
        <f>S35</f>
        <v>0.16180555555555556</v>
      </c>
      <c r="Y34" s="30"/>
      <c r="Z34" s="30"/>
      <c r="AA34" s="575"/>
      <c r="AB34" s="575"/>
      <c r="AC34" s="50">
        <v>6</v>
      </c>
      <c r="AD34" s="27"/>
      <c r="AE34" s="20">
        <f t="shared" si="8"/>
        <v>-114.28571428571422</v>
      </c>
      <c r="AF34" s="252">
        <f t="shared" si="9"/>
        <v>0.95238095238095244</v>
      </c>
      <c r="AG34" s="573">
        <f>AF40</f>
        <v>0.95463595383982314</v>
      </c>
    </row>
    <row r="35" spans="1:33" ht="15.75" customHeight="1">
      <c r="A35" s="592" t="s">
        <v>1406</v>
      </c>
      <c r="B35" s="39" t="s">
        <v>94</v>
      </c>
      <c r="C35" s="574" t="s">
        <v>100</v>
      </c>
      <c r="D35" s="574"/>
      <c r="E35" s="39">
        <v>24.43</v>
      </c>
      <c r="F35" s="258">
        <v>6860</v>
      </c>
      <c r="G35" s="251">
        <f t="shared" si="27"/>
        <v>167589.79999999999</v>
      </c>
      <c r="H35" s="48" t="s">
        <v>126</v>
      </c>
      <c r="I35" s="256">
        <v>14</v>
      </c>
      <c r="J35" s="43">
        <v>2400</v>
      </c>
      <c r="K35" s="18">
        <f t="shared" si="1"/>
        <v>171.42857142857142</v>
      </c>
      <c r="L35" s="256">
        <v>14</v>
      </c>
      <c r="M35" s="19">
        <f t="shared" si="28"/>
        <v>2286.6666666666674</v>
      </c>
      <c r="N35" s="18">
        <f t="shared" si="3"/>
        <v>163.3333333333334</v>
      </c>
      <c r="O35" s="20">
        <f t="shared" si="4"/>
        <v>0</v>
      </c>
      <c r="P35" s="21">
        <f t="shared" si="5"/>
        <v>-8.0952380952380167</v>
      </c>
      <c r="Q35" s="252">
        <f t="shared" si="6"/>
        <v>0.95277777777777828</v>
      </c>
      <c r="R35" s="573"/>
      <c r="S35" s="49">
        <v>0.16180555555555556</v>
      </c>
      <c r="T35" s="49">
        <v>0.28680555555555554</v>
      </c>
      <c r="U35" s="251">
        <f t="shared" ref="U35:U39" si="30">(S35-T34)*24*60</f>
        <v>29.000000000000018</v>
      </c>
      <c r="V35" s="257">
        <f t="shared" si="29"/>
        <v>179.99999999999994</v>
      </c>
      <c r="W35" s="251"/>
      <c r="X35" s="251"/>
      <c r="Y35" s="251"/>
      <c r="Z35" s="251"/>
      <c r="AA35" s="575"/>
      <c r="AB35" s="575"/>
      <c r="AC35" s="50"/>
      <c r="AD35" s="27"/>
      <c r="AE35" s="20">
        <f t="shared" si="8"/>
        <v>-113.33333333333258</v>
      </c>
      <c r="AF35" s="252">
        <f t="shared" si="9"/>
        <v>0.95277777777777806</v>
      </c>
      <c r="AG35" s="573"/>
    </row>
    <row r="36" spans="1:33">
      <c r="A36" s="593" t="s">
        <v>1407</v>
      </c>
      <c r="B36" s="39" t="s">
        <v>94</v>
      </c>
      <c r="C36" s="574" t="s">
        <v>102</v>
      </c>
      <c r="D36" s="574"/>
      <c r="E36" s="39">
        <v>34.1</v>
      </c>
      <c r="F36" s="258">
        <v>4300</v>
      </c>
      <c r="G36" s="251">
        <f t="shared" si="27"/>
        <v>146630</v>
      </c>
      <c r="H36" s="48">
        <v>2</v>
      </c>
      <c r="I36" s="256">
        <v>17</v>
      </c>
      <c r="J36" s="43">
        <v>1600</v>
      </c>
      <c r="K36" s="18">
        <f t="shared" si="1"/>
        <v>94.117647058823536</v>
      </c>
      <c r="L36" s="256">
        <v>17</v>
      </c>
      <c r="M36" s="19">
        <f t="shared" si="28"/>
        <v>1526.6272189349108</v>
      </c>
      <c r="N36" s="18">
        <f t="shared" si="3"/>
        <v>89.801601113818279</v>
      </c>
      <c r="O36" s="20">
        <f t="shared" si="4"/>
        <v>0</v>
      </c>
      <c r="P36" s="21">
        <f t="shared" si="5"/>
        <v>-4.3160459450052571</v>
      </c>
      <c r="Q36" s="252">
        <f t="shared" si="6"/>
        <v>0.95414201183431913</v>
      </c>
      <c r="R36" s="573"/>
      <c r="S36" s="49">
        <v>0.29027777777777775</v>
      </c>
      <c r="T36" s="49">
        <v>0.40763888888888888</v>
      </c>
      <c r="U36" s="251">
        <f t="shared" si="30"/>
        <v>4.9999999999999822</v>
      </c>
      <c r="V36" s="257">
        <f t="shared" si="29"/>
        <v>169.00000000000003</v>
      </c>
      <c r="W36" s="251"/>
      <c r="X36" s="251"/>
      <c r="Y36" s="251"/>
      <c r="Z36" s="251"/>
      <c r="AA36" s="575"/>
      <c r="AB36" s="575"/>
      <c r="AC36" s="50"/>
      <c r="AD36" s="27"/>
      <c r="AE36" s="20">
        <f t="shared" si="8"/>
        <v>-73.372781065089157</v>
      </c>
      <c r="AF36" s="252">
        <f t="shared" si="9"/>
        <v>0.95414201183431924</v>
      </c>
      <c r="AG36" s="573"/>
    </row>
    <row r="37" spans="1:33">
      <c r="A37" s="593" t="s">
        <v>1408</v>
      </c>
      <c r="B37" s="39" t="s">
        <v>94</v>
      </c>
      <c r="C37" s="574" t="s">
        <v>101</v>
      </c>
      <c r="D37" s="574"/>
      <c r="E37" s="39">
        <v>25.98</v>
      </c>
      <c r="F37" s="258">
        <v>3317</v>
      </c>
      <c r="G37" s="251">
        <f t="shared" si="27"/>
        <v>86175.66</v>
      </c>
      <c r="H37" s="48" t="s">
        <v>126</v>
      </c>
      <c r="I37" s="256">
        <v>19</v>
      </c>
      <c r="J37" s="43">
        <v>2400</v>
      </c>
      <c r="K37" s="18">
        <f t="shared" si="1"/>
        <v>126.31578947368421</v>
      </c>
      <c r="L37" s="256">
        <v>19</v>
      </c>
      <c r="M37" s="19">
        <f t="shared" si="28"/>
        <v>2287.5862068965512</v>
      </c>
      <c r="N37" s="18">
        <f t="shared" si="3"/>
        <v>120.39927404718691</v>
      </c>
      <c r="O37" s="20">
        <f t="shared" si="4"/>
        <v>0</v>
      </c>
      <c r="P37" s="21">
        <f t="shared" si="5"/>
        <v>-5.9165154264972983</v>
      </c>
      <c r="Q37" s="252">
        <f t="shared" si="6"/>
        <v>0.95316091954022975</v>
      </c>
      <c r="R37" s="573"/>
      <c r="S37" s="49">
        <v>0.41111111111111109</v>
      </c>
      <c r="T37" s="49">
        <v>0.47152777777777777</v>
      </c>
      <c r="U37" s="251">
        <f t="shared" si="30"/>
        <v>4.9999999999999822</v>
      </c>
      <c r="V37" s="257">
        <f t="shared" si="29"/>
        <v>87.000000000000014</v>
      </c>
      <c r="W37" s="25">
        <f>T37</f>
        <v>0.47152777777777777</v>
      </c>
      <c r="X37" s="25">
        <f>S38</f>
        <v>0.51180555555555551</v>
      </c>
      <c r="Y37" s="25"/>
      <c r="Z37" s="25"/>
      <c r="AA37" s="575"/>
      <c r="AB37" s="575"/>
      <c r="AC37" s="50"/>
      <c r="AD37" s="27"/>
      <c r="AE37" s="20">
        <f t="shared" si="8"/>
        <v>-112.41379310344882</v>
      </c>
      <c r="AF37" s="252">
        <f t="shared" si="9"/>
        <v>0.95316091954022963</v>
      </c>
      <c r="AG37" s="573"/>
    </row>
    <row r="38" spans="1:33">
      <c r="A38" s="593" t="s">
        <v>1409</v>
      </c>
      <c r="B38" s="39" t="s">
        <v>94</v>
      </c>
      <c r="C38" s="574" t="s">
        <v>102</v>
      </c>
      <c r="D38" s="574"/>
      <c r="E38" s="39">
        <v>34.1</v>
      </c>
      <c r="F38" s="258">
        <v>3775</v>
      </c>
      <c r="G38" s="251">
        <f t="shared" si="27"/>
        <v>128727.5</v>
      </c>
      <c r="H38" s="48" t="s">
        <v>126</v>
      </c>
      <c r="I38" s="256">
        <v>17</v>
      </c>
      <c r="J38" s="43">
        <v>1600</v>
      </c>
      <c r="K38" s="18">
        <f t="shared" si="1"/>
        <v>94.117647058823536</v>
      </c>
      <c r="L38" s="256">
        <v>17</v>
      </c>
      <c r="M38" s="19">
        <f t="shared" si="28"/>
        <v>1530.4054054054059</v>
      </c>
      <c r="N38" s="18">
        <f t="shared" si="3"/>
        <v>90.023847376788581</v>
      </c>
      <c r="O38" s="20">
        <f t="shared" si="4"/>
        <v>0</v>
      </c>
      <c r="P38" s="21">
        <f t="shared" si="5"/>
        <v>-4.0937996820349554</v>
      </c>
      <c r="Q38" s="252">
        <f t="shared" si="6"/>
        <v>0.95650337837837862</v>
      </c>
      <c r="R38" s="573"/>
      <c r="S38" s="49">
        <v>0.51180555555555551</v>
      </c>
      <c r="T38" s="49">
        <v>0.61458333333333326</v>
      </c>
      <c r="U38" s="251">
        <f t="shared" si="30"/>
        <v>57.999999999999957</v>
      </c>
      <c r="V38" s="257">
        <f t="shared" si="29"/>
        <v>147.99999999999994</v>
      </c>
      <c r="W38" s="25"/>
      <c r="X38" s="25"/>
      <c r="Y38" s="25"/>
      <c r="Z38" s="25"/>
      <c r="AA38" s="575"/>
      <c r="AB38" s="575"/>
      <c r="AC38" s="50"/>
      <c r="AD38" s="27"/>
      <c r="AE38" s="20">
        <f t="shared" si="8"/>
        <v>-69.594594594594128</v>
      </c>
      <c r="AF38" s="252">
        <f t="shared" si="9"/>
        <v>0.95650337837837862</v>
      </c>
      <c r="AG38" s="573"/>
    </row>
    <row r="39" spans="1:33">
      <c r="A39" s="593" t="s">
        <v>1410</v>
      </c>
      <c r="B39" s="39" t="s">
        <v>94</v>
      </c>
      <c r="C39" s="574" t="s">
        <v>530</v>
      </c>
      <c r="D39" s="574"/>
      <c r="E39" s="39">
        <v>26.18</v>
      </c>
      <c r="F39" s="258">
        <v>3607</v>
      </c>
      <c r="G39" s="251">
        <f t="shared" si="27"/>
        <v>94431.26</v>
      </c>
      <c r="H39" s="48" t="s">
        <v>126</v>
      </c>
      <c r="I39" s="256">
        <v>21</v>
      </c>
      <c r="J39" s="43">
        <v>2400</v>
      </c>
      <c r="K39" s="18">
        <f t="shared" si="1"/>
        <v>114.28571428571429</v>
      </c>
      <c r="L39" s="256">
        <v>21</v>
      </c>
      <c r="M39" s="19">
        <f t="shared" si="28"/>
        <v>2302.3404255319156</v>
      </c>
      <c r="N39" s="18">
        <f t="shared" si="3"/>
        <v>109.63525835866264</v>
      </c>
      <c r="O39" s="20">
        <f t="shared" si="4"/>
        <v>0</v>
      </c>
      <c r="P39" s="21">
        <f t="shared" si="5"/>
        <v>-4.6504559270516523</v>
      </c>
      <c r="Q39" s="252">
        <f t="shared" si="6"/>
        <v>0.95930851063829803</v>
      </c>
      <c r="R39" s="573"/>
      <c r="S39" s="49">
        <v>0.61874999999999991</v>
      </c>
      <c r="T39" s="49">
        <v>0.68402777777777768</v>
      </c>
      <c r="U39" s="251">
        <f t="shared" si="30"/>
        <v>5.9999999999999787</v>
      </c>
      <c r="V39" s="257">
        <f t="shared" si="29"/>
        <v>93.999999999999986</v>
      </c>
      <c r="W39" s="25"/>
      <c r="X39" s="25"/>
      <c r="Y39" s="25"/>
      <c r="Z39" s="25"/>
      <c r="AA39" s="575"/>
      <c r="AB39" s="575"/>
      <c r="AC39" s="50"/>
      <c r="AD39" s="27"/>
      <c r="AE39" s="20">
        <f t="shared" si="8"/>
        <v>-97.659574468084429</v>
      </c>
      <c r="AF39" s="252">
        <f t="shared" si="9"/>
        <v>0.95930851063829814</v>
      </c>
      <c r="AG39" s="573"/>
    </row>
    <row r="40" spans="1:33">
      <c r="A40" s="593" t="s">
        <v>1411</v>
      </c>
      <c r="B40" s="42" t="s">
        <v>1412</v>
      </c>
      <c r="C40" s="576"/>
      <c r="D40" s="576"/>
      <c r="E40" s="253"/>
      <c r="F40" s="42"/>
      <c r="G40" s="18"/>
      <c r="H40" s="258"/>
      <c r="I40" s="32">
        <v>18.166666666666668</v>
      </c>
      <c r="J40" s="43">
        <v>2133.3333333333335</v>
      </c>
      <c r="K40" s="18">
        <f t="shared" si="1"/>
        <v>117.43119266055047</v>
      </c>
      <c r="L40" s="32">
        <v>18.166666666666668</v>
      </c>
      <c r="M40" s="19">
        <f>AVERAGE(M34:M39)</f>
        <v>2036.5567015249562</v>
      </c>
      <c r="N40" s="18">
        <f t="shared" si="3"/>
        <v>112.10403861605263</v>
      </c>
      <c r="O40" s="20">
        <f t="shared" si="4"/>
        <v>0</v>
      </c>
      <c r="P40" s="21">
        <f t="shared" si="5"/>
        <v>-5.3271540444978314</v>
      </c>
      <c r="Q40" s="252">
        <f t="shared" si="6"/>
        <v>0.95463595383982314</v>
      </c>
      <c r="R40" s="573"/>
      <c r="S40" s="49"/>
      <c r="T40" s="49"/>
      <c r="U40" s="18"/>
      <c r="V40" s="257"/>
      <c r="W40" s="18"/>
      <c r="X40" s="18"/>
      <c r="Y40" s="33">
        <f>SUM(Y34:Y39)</f>
        <v>0</v>
      </c>
      <c r="Z40" s="33">
        <f>SUM(Z34:Z39)</f>
        <v>0</v>
      </c>
      <c r="AA40" s="572"/>
      <c r="AB40" s="572"/>
      <c r="AC40" s="33">
        <v>6</v>
      </c>
      <c r="AD40" s="33">
        <f>SUM(AD34:AD39)</f>
        <v>0</v>
      </c>
      <c r="AE40" s="20">
        <f t="shared" si="8"/>
        <v>-96.77663180837726</v>
      </c>
      <c r="AF40" s="252">
        <f t="shared" si="9"/>
        <v>0.95463595383982314</v>
      </c>
      <c r="AG40" s="573"/>
    </row>
    <row r="41" spans="1:33" ht="15.75" customHeight="1">
      <c r="A41" s="589" t="s">
        <v>1413</v>
      </c>
      <c r="B41" s="39" t="s">
        <v>104</v>
      </c>
      <c r="C41" s="566" t="s">
        <v>105</v>
      </c>
      <c r="D41" s="567"/>
      <c r="E41" s="39">
        <v>37.880000000000003</v>
      </c>
      <c r="F41" s="258">
        <v>3126</v>
      </c>
      <c r="G41" s="251">
        <f t="shared" ref="G41:G44" si="31">E41*F41</f>
        <v>118412.88</v>
      </c>
      <c r="H41" s="48" t="s">
        <v>126</v>
      </c>
      <c r="I41" s="256">
        <v>13</v>
      </c>
      <c r="J41" s="43">
        <v>2000</v>
      </c>
      <c r="K41" s="18">
        <f t="shared" si="1"/>
        <v>153.84615384615384</v>
      </c>
      <c r="L41" s="256">
        <v>13</v>
      </c>
      <c r="M41" s="19">
        <f t="shared" ref="M41:M44" si="32">F41/V41*60</f>
        <v>1913.877551020408</v>
      </c>
      <c r="N41" s="19">
        <f t="shared" si="3"/>
        <v>147.22135007849292</v>
      </c>
      <c r="O41" s="20">
        <f t="shared" si="4"/>
        <v>0</v>
      </c>
      <c r="P41" s="21">
        <f t="shared" si="5"/>
        <v>-6.6248037676609215</v>
      </c>
      <c r="Q41" s="252">
        <f t="shared" si="6"/>
        <v>0.95693877551020401</v>
      </c>
      <c r="R41" s="584">
        <f>Q45</f>
        <v>0.95450488973318781</v>
      </c>
      <c r="S41" s="49">
        <v>8.3333333333333329E-2</v>
      </c>
      <c r="T41" s="49">
        <v>0.15138888888888888</v>
      </c>
      <c r="U41" s="30"/>
      <c r="V41" s="257">
        <f t="shared" ref="V41:V44" si="33">(T41-S41)*24*60</f>
        <v>98</v>
      </c>
      <c r="W41" s="25">
        <f>T41</f>
        <v>0.15138888888888888</v>
      </c>
      <c r="X41" s="25">
        <f>S42</f>
        <v>0.17083333333333334</v>
      </c>
      <c r="Y41" s="28"/>
      <c r="Z41" s="28"/>
      <c r="AA41" s="568"/>
      <c r="AB41" s="569"/>
      <c r="AC41" s="50">
        <v>4</v>
      </c>
      <c r="AD41" s="27"/>
      <c r="AE41" s="20">
        <f t="shared" si="8"/>
        <v>-86.122448979592036</v>
      </c>
      <c r="AF41" s="252">
        <f t="shared" si="9"/>
        <v>0.95693877551020401</v>
      </c>
      <c r="AG41" s="584">
        <f>AF45</f>
        <v>0.95450488973318781</v>
      </c>
    </row>
    <row r="42" spans="1:33" ht="15.75" customHeight="1">
      <c r="A42" s="590" t="s">
        <v>1414</v>
      </c>
      <c r="B42" s="39" t="s">
        <v>104</v>
      </c>
      <c r="C42" s="566" t="s">
        <v>106</v>
      </c>
      <c r="D42" s="567"/>
      <c r="E42" s="39">
        <v>35.119999999999997</v>
      </c>
      <c r="F42" s="258">
        <v>5443</v>
      </c>
      <c r="G42" s="251">
        <f t="shared" si="31"/>
        <v>191158.15999999997</v>
      </c>
      <c r="H42" s="48" t="s">
        <v>126</v>
      </c>
      <c r="I42" s="256">
        <v>10</v>
      </c>
      <c r="J42" s="43">
        <v>3000</v>
      </c>
      <c r="K42" s="18">
        <f t="shared" si="1"/>
        <v>300</v>
      </c>
      <c r="L42" s="256">
        <v>10</v>
      </c>
      <c r="M42" s="19">
        <f t="shared" si="32"/>
        <v>2864.7368421052633</v>
      </c>
      <c r="N42" s="19">
        <f t="shared" si="3"/>
        <v>286.47368421052636</v>
      </c>
      <c r="O42" s="20">
        <f t="shared" si="4"/>
        <v>0</v>
      </c>
      <c r="P42" s="21">
        <f t="shared" si="5"/>
        <v>-13.526315789473642</v>
      </c>
      <c r="Q42" s="252">
        <f t="shared" si="6"/>
        <v>0.95491228070175449</v>
      </c>
      <c r="R42" s="585"/>
      <c r="S42" s="49">
        <v>0.17083333333333334</v>
      </c>
      <c r="T42" s="49">
        <v>0.25</v>
      </c>
      <c r="U42" s="251">
        <f t="shared" ref="U42:U44" si="34">(S42-T41)*24*60</f>
        <v>28.000000000000021</v>
      </c>
      <c r="V42" s="257">
        <f t="shared" si="33"/>
        <v>114</v>
      </c>
      <c r="W42" s="25"/>
      <c r="X42" s="25"/>
      <c r="Y42" s="28"/>
      <c r="Z42" s="28"/>
      <c r="AA42" s="568"/>
      <c r="AB42" s="569"/>
      <c r="AC42" s="50"/>
      <c r="AD42" s="27"/>
      <c r="AE42" s="20">
        <f t="shared" si="8"/>
        <v>-135.26315789473665</v>
      </c>
      <c r="AF42" s="252">
        <f t="shared" si="9"/>
        <v>0.95491228070175449</v>
      </c>
      <c r="AG42" s="585"/>
    </row>
    <row r="43" spans="1:33" ht="15.75" customHeight="1">
      <c r="A43" s="590" t="s">
        <v>1414</v>
      </c>
      <c r="B43" s="39" t="s">
        <v>104</v>
      </c>
      <c r="C43" s="566" t="s">
        <v>107</v>
      </c>
      <c r="D43" s="567"/>
      <c r="E43" s="39">
        <v>21.13</v>
      </c>
      <c r="F43" s="258">
        <v>5242</v>
      </c>
      <c r="G43" s="251">
        <f t="shared" si="31"/>
        <v>110763.45999999999</v>
      </c>
      <c r="H43" s="48" t="s">
        <v>126</v>
      </c>
      <c r="I43" s="256">
        <v>10</v>
      </c>
      <c r="J43" s="43">
        <v>3000</v>
      </c>
      <c r="K43" s="18">
        <f t="shared" si="1"/>
        <v>300</v>
      </c>
      <c r="L43" s="256">
        <v>10</v>
      </c>
      <c r="M43" s="19">
        <f t="shared" si="32"/>
        <v>2859.272727272727</v>
      </c>
      <c r="N43" s="19">
        <f t="shared" si="3"/>
        <v>285.92727272727268</v>
      </c>
      <c r="O43" s="20">
        <f t="shared" si="4"/>
        <v>0</v>
      </c>
      <c r="P43" s="21">
        <f t="shared" si="5"/>
        <v>-14.07272727272732</v>
      </c>
      <c r="Q43" s="252">
        <f t="shared" si="6"/>
        <v>0.95309090909090888</v>
      </c>
      <c r="R43" s="585"/>
      <c r="S43" s="49">
        <v>0.25486111111111109</v>
      </c>
      <c r="T43" s="49">
        <v>0.33124999999999999</v>
      </c>
      <c r="U43" s="251">
        <f t="shared" si="34"/>
        <v>6.9999999999999751</v>
      </c>
      <c r="V43" s="257">
        <f t="shared" si="33"/>
        <v>110.00000000000001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-140.72727272727298</v>
      </c>
      <c r="AF43" s="252">
        <f t="shared" si="9"/>
        <v>0.95309090909090899</v>
      </c>
      <c r="AG43" s="585"/>
    </row>
    <row r="44" spans="1:33" ht="15.75" customHeight="1">
      <c r="A44" s="590" t="s">
        <v>1415</v>
      </c>
      <c r="B44" s="39" t="s">
        <v>104</v>
      </c>
      <c r="C44" s="566" t="s">
        <v>108</v>
      </c>
      <c r="D44" s="567"/>
      <c r="E44" s="39">
        <v>27.17</v>
      </c>
      <c r="F44" s="258">
        <v>6868</v>
      </c>
      <c r="G44" s="251">
        <f t="shared" si="31"/>
        <v>186603.56</v>
      </c>
      <c r="H44" s="48" t="s">
        <v>126</v>
      </c>
      <c r="I44" s="256">
        <v>10</v>
      </c>
      <c r="J44" s="43">
        <v>3000</v>
      </c>
      <c r="K44" s="18">
        <f t="shared" si="1"/>
        <v>300</v>
      </c>
      <c r="L44" s="256">
        <v>10</v>
      </c>
      <c r="M44" s="19">
        <f t="shared" si="32"/>
        <v>2861.6666666666674</v>
      </c>
      <c r="N44" s="19">
        <f t="shared" si="3"/>
        <v>286.16666666666674</v>
      </c>
      <c r="O44" s="20">
        <f t="shared" si="4"/>
        <v>0</v>
      </c>
      <c r="P44" s="21">
        <f t="shared" si="5"/>
        <v>-13.833333333333258</v>
      </c>
      <c r="Q44" s="252">
        <f t="shared" si="6"/>
        <v>0.95388888888888912</v>
      </c>
      <c r="R44" s="585"/>
      <c r="S44" s="49">
        <v>0.33680555555555552</v>
      </c>
      <c r="T44" s="49">
        <v>0.4368055555555555</v>
      </c>
      <c r="U44" s="251">
        <f t="shared" si="34"/>
        <v>7.9999999999999716</v>
      </c>
      <c r="V44" s="257">
        <f t="shared" si="33"/>
        <v>143.99999999999997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-138.33333333333258</v>
      </c>
      <c r="AF44" s="252">
        <f t="shared" si="9"/>
        <v>0.95388888888888912</v>
      </c>
      <c r="AG44" s="585"/>
    </row>
    <row r="45" spans="1:33" ht="15.75" customHeight="1">
      <c r="A45" s="591" t="s">
        <v>1414</v>
      </c>
      <c r="B45" s="39" t="s">
        <v>1416</v>
      </c>
      <c r="C45" s="570"/>
      <c r="D45" s="571"/>
      <c r="E45" s="249"/>
      <c r="F45" s="258"/>
      <c r="G45" s="251"/>
      <c r="H45" s="258"/>
      <c r="I45" s="32">
        <v>10.75</v>
      </c>
      <c r="J45" s="43">
        <v>2750</v>
      </c>
      <c r="K45" s="18">
        <f t="shared" si="1"/>
        <v>255.81395348837211</v>
      </c>
      <c r="L45" s="32">
        <v>10.75</v>
      </c>
      <c r="M45" s="19">
        <f>AVERAGE(M41:M44)</f>
        <v>2624.8884467662665</v>
      </c>
      <c r="N45" s="18">
        <f t="shared" si="3"/>
        <v>244.17566946662944</v>
      </c>
      <c r="O45" s="20">
        <f t="shared" si="4"/>
        <v>0</v>
      </c>
      <c r="P45" s="21">
        <f t="shared" si="5"/>
        <v>-11.638284021742663</v>
      </c>
      <c r="Q45" s="252">
        <f t="shared" si="6"/>
        <v>0.95450488973318781</v>
      </c>
      <c r="R45" s="586"/>
      <c r="S45" s="49"/>
      <c r="T45" s="49"/>
      <c r="U45" s="251"/>
      <c r="V45" s="257"/>
      <c r="W45" s="25"/>
      <c r="X45" s="25"/>
      <c r="Y45" s="33">
        <f>SUM(Y41:Y44)</f>
        <v>0</v>
      </c>
      <c r="Z45" s="33">
        <f>SUM(Z41:Z44)</f>
        <v>0</v>
      </c>
      <c r="AA45" s="587"/>
      <c r="AB45" s="588"/>
      <c r="AC45" s="33">
        <v>4</v>
      </c>
      <c r="AD45" s="33">
        <f>SUM(AD41:AD44)</f>
        <v>0</v>
      </c>
      <c r="AE45" s="20">
        <f t="shared" si="8"/>
        <v>-125.1115532337335</v>
      </c>
      <c r="AF45" s="252">
        <f t="shared" si="9"/>
        <v>0.95450488973318781</v>
      </c>
      <c r="AG45" s="586"/>
    </row>
    <row r="46" spans="1:33" ht="15.75" customHeight="1">
      <c r="A46" s="582" t="s">
        <v>1417</v>
      </c>
      <c r="B46" s="39" t="s">
        <v>79</v>
      </c>
      <c r="C46" s="574" t="s">
        <v>109</v>
      </c>
      <c r="D46" s="574"/>
      <c r="E46" s="39">
        <v>46</v>
      </c>
      <c r="F46" s="45">
        <v>2143</v>
      </c>
      <c r="G46" s="251">
        <f t="shared" ref="G46:G54" si="35">E46*F46</f>
        <v>98578</v>
      </c>
      <c r="H46" s="48" t="s">
        <v>126</v>
      </c>
      <c r="I46" s="256">
        <v>16</v>
      </c>
      <c r="J46" s="43">
        <v>2000</v>
      </c>
      <c r="K46" s="18">
        <f t="shared" si="1"/>
        <v>125</v>
      </c>
      <c r="L46" s="256">
        <v>16</v>
      </c>
      <c r="M46" s="19">
        <f t="shared" ref="M46" si="36">F46/V46*60</f>
        <v>1919.1044776119415</v>
      </c>
      <c r="N46" s="19">
        <f t="shared" si="3"/>
        <v>119.94402985074635</v>
      </c>
      <c r="O46" s="20">
        <f t="shared" si="4"/>
        <v>0</v>
      </c>
      <c r="P46" s="21">
        <f t="shared" si="5"/>
        <v>-5.0559701492536533</v>
      </c>
      <c r="Q46" s="252">
        <f t="shared" si="6"/>
        <v>0.95955223880597074</v>
      </c>
      <c r="R46" s="573">
        <f>Q55</f>
        <v>0.95546984109079114</v>
      </c>
      <c r="S46" s="49">
        <v>0.20833333333333334</v>
      </c>
      <c r="T46" s="49">
        <v>0.25486111111111109</v>
      </c>
      <c r="U46" s="30"/>
      <c r="V46" s="257">
        <f t="shared" ref="V46:V54" si="37">(T46-S46)*24*60</f>
        <v>66.999999999999957</v>
      </c>
      <c r="W46" s="30"/>
      <c r="X46" s="30"/>
      <c r="Y46" s="30"/>
      <c r="Z46" s="30"/>
      <c r="AA46" s="575"/>
      <c r="AB46" s="575"/>
      <c r="AC46" s="50">
        <v>9</v>
      </c>
      <c r="AD46" s="27"/>
      <c r="AE46" s="20">
        <f t="shared" si="8"/>
        <v>-80.895522388058453</v>
      </c>
      <c r="AF46" s="252">
        <f t="shared" si="9"/>
        <v>0.95955223880597074</v>
      </c>
      <c r="AG46" s="573">
        <f>AF55</f>
        <v>0.95546984109079103</v>
      </c>
    </row>
    <row r="47" spans="1:33" ht="15.75" customHeight="1">
      <c r="A47" s="582" t="s">
        <v>1418</v>
      </c>
      <c r="B47" s="39" t="s">
        <v>74</v>
      </c>
      <c r="C47" s="574" t="s">
        <v>110</v>
      </c>
      <c r="D47" s="574"/>
      <c r="E47" s="39">
        <v>56.43</v>
      </c>
      <c r="F47" s="45">
        <v>1412</v>
      </c>
      <c r="G47" s="251">
        <f t="shared" si="35"/>
        <v>79679.16</v>
      </c>
      <c r="H47" s="48" t="s">
        <v>126</v>
      </c>
      <c r="I47" s="256">
        <v>22</v>
      </c>
      <c r="J47" s="43">
        <v>2000</v>
      </c>
      <c r="K47" s="18">
        <f t="shared" si="1"/>
        <v>90.909090909090907</v>
      </c>
      <c r="L47" s="256">
        <v>22</v>
      </c>
      <c r="M47" s="19">
        <f>F47/V47*60</f>
        <v>1925.4545454545455</v>
      </c>
      <c r="N47" s="19">
        <f t="shared" si="3"/>
        <v>87.52066115702479</v>
      </c>
      <c r="O47" s="20">
        <f t="shared" si="4"/>
        <v>0</v>
      </c>
      <c r="P47" s="21">
        <f t="shared" si="5"/>
        <v>-3.3884297520661164</v>
      </c>
      <c r="Q47" s="252">
        <f t="shared" si="6"/>
        <v>0.96272727272727276</v>
      </c>
      <c r="R47" s="573"/>
      <c r="S47" s="49">
        <v>0.26041666666666663</v>
      </c>
      <c r="T47" s="49">
        <v>0.29097222222222219</v>
      </c>
      <c r="U47" s="251">
        <f t="shared" ref="U47:U54" si="38">IF(S47=TIME(17,0,0),"",(S47-T46)*24*60)</f>
        <v>7.9999999999999716</v>
      </c>
      <c r="V47" s="257">
        <f t="shared" si="37"/>
        <v>44</v>
      </c>
      <c r="W47" s="25"/>
      <c r="X47" s="25"/>
      <c r="Y47" s="25"/>
      <c r="Z47" s="25"/>
      <c r="AA47" s="575"/>
      <c r="AB47" s="575"/>
      <c r="AC47" s="50"/>
      <c r="AD47" s="27"/>
      <c r="AE47" s="20">
        <f t="shared" si="8"/>
        <v>-74.545454545454504</v>
      </c>
      <c r="AF47" s="252">
        <f t="shared" si="9"/>
        <v>0.96272727272727276</v>
      </c>
      <c r="AG47" s="573"/>
    </row>
    <row r="48" spans="1:33" ht="15.75" customHeight="1">
      <c r="A48" s="582" t="s">
        <v>1419</v>
      </c>
      <c r="B48" s="39" t="s">
        <v>74</v>
      </c>
      <c r="C48" s="566" t="s">
        <v>111</v>
      </c>
      <c r="D48" s="567"/>
      <c r="E48" s="39">
        <v>51.75</v>
      </c>
      <c r="F48" s="45">
        <v>835</v>
      </c>
      <c r="G48" s="251">
        <f t="shared" si="35"/>
        <v>43211.25</v>
      </c>
      <c r="H48" s="48" t="s">
        <v>126</v>
      </c>
      <c r="I48" s="256">
        <v>25</v>
      </c>
      <c r="J48" s="43">
        <v>2000</v>
      </c>
      <c r="K48" s="18">
        <f t="shared" si="1"/>
        <v>80</v>
      </c>
      <c r="L48" s="256">
        <v>25</v>
      </c>
      <c r="M48" s="19">
        <f t="shared" ref="M48:M54" si="39">F48/V48*60</f>
        <v>1926.923076923078</v>
      </c>
      <c r="N48" s="19">
        <f t="shared" si="3"/>
        <v>77.076923076923123</v>
      </c>
      <c r="O48" s="20">
        <f t="shared" si="4"/>
        <v>0</v>
      </c>
      <c r="P48" s="21">
        <f t="shared" si="5"/>
        <v>-2.9230769230768772</v>
      </c>
      <c r="Q48" s="252">
        <f t="shared" si="6"/>
        <v>0.96346153846153904</v>
      </c>
      <c r="R48" s="573"/>
      <c r="S48" s="49">
        <v>0.2944444444444444</v>
      </c>
      <c r="T48" s="49">
        <v>0.31249999999999994</v>
      </c>
      <c r="U48" s="251">
        <f t="shared" si="38"/>
        <v>4.9999999999999822</v>
      </c>
      <c r="V48" s="257">
        <f t="shared" si="37"/>
        <v>25.999999999999986</v>
      </c>
      <c r="W48" s="25"/>
      <c r="X48" s="25"/>
      <c r="Y48" s="28"/>
      <c r="Z48" s="28"/>
      <c r="AA48" s="575"/>
      <c r="AB48" s="575"/>
      <c r="AC48" s="50"/>
      <c r="AD48" s="27"/>
      <c r="AE48" s="20">
        <f t="shared" si="8"/>
        <v>-73.076923076921958</v>
      </c>
      <c r="AF48" s="252">
        <f t="shared" si="9"/>
        <v>0.96346153846153904</v>
      </c>
      <c r="AG48" s="573"/>
    </row>
    <row r="49" spans="1:33" ht="15.75" customHeight="1">
      <c r="A49" s="582" t="s">
        <v>1420</v>
      </c>
      <c r="B49" s="39" t="s">
        <v>74</v>
      </c>
      <c r="C49" s="245" t="s">
        <v>88</v>
      </c>
      <c r="D49" s="246"/>
      <c r="E49" s="39">
        <v>59.04</v>
      </c>
      <c r="F49" s="45">
        <v>3200</v>
      </c>
      <c r="G49" s="251">
        <f t="shared" si="35"/>
        <v>188928</v>
      </c>
      <c r="H49" s="48">
        <v>2</v>
      </c>
      <c r="I49" s="256">
        <v>19</v>
      </c>
      <c r="J49" s="43">
        <v>2000</v>
      </c>
      <c r="K49" s="18">
        <f t="shared" si="1"/>
        <v>105.26315789473684</v>
      </c>
      <c r="L49" s="256">
        <v>19</v>
      </c>
      <c r="M49" s="19">
        <f t="shared" si="39"/>
        <v>1919.9999999999991</v>
      </c>
      <c r="N49" s="19">
        <f t="shared" si="3"/>
        <v>101.05263157894733</v>
      </c>
      <c r="O49" s="20">
        <f t="shared" si="4"/>
        <v>0</v>
      </c>
      <c r="P49" s="21">
        <f t="shared" si="5"/>
        <v>-4.2105263157895081</v>
      </c>
      <c r="Q49" s="252">
        <f t="shared" si="6"/>
        <v>0.95999999999999963</v>
      </c>
      <c r="R49" s="573"/>
      <c r="S49" s="49">
        <v>0.3166666666666666</v>
      </c>
      <c r="T49" s="49">
        <v>0.38611111111111107</v>
      </c>
      <c r="U49" s="251">
        <f t="shared" si="38"/>
        <v>5.9999999999999787</v>
      </c>
      <c r="V49" s="257">
        <f t="shared" si="37"/>
        <v>100.00000000000004</v>
      </c>
      <c r="W49" s="25"/>
      <c r="X49" s="25"/>
      <c r="Y49" s="28"/>
      <c r="Z49" s="28"/>
      <c r="AA49" s="575"/>
      <c r="AB49" s="575"/>
      <c r="AC49" s="50"/>
      <c r="AD49" s="27"/>
      <c r="AE49" s="20">
        <f t="shared" si="8"/>
        <v>-80.000000000000909</v>
      </c>
      <c r="AF49" s="252">
        <f t="shared" si="9"/>
        <v>0.95999999999999952</v>
      </c>
      <c r="AG49" s="573"/>
    </row>
    <row r="50" spans="1:33" ht="15.75" customHeight="1">
      <c r="A50" s="582" t="s">
        <v>1421</v>
      </c>
      <c r="B50" s="39" t="s">
        <v>79</v>
      </c>
      <c r="C50" s="245" t="s">
        <v>1233</v>
      </c>
      <c r="D50" s="246"/>
      <c r="E50" s="39">
        <v>46</v>
      </c>
      <c r="F50" s="45">
        <v>5219</v>
      </c>
      <c r="G50" s="251">
        <f t="shared" si="35"/>
        <v>240074</v>
      </c>
      <c r="H50" s="48" t="s">
        <v>126</v>
      </c>
      <c r="I50" s="256">
        <v>16</v>
      </c>
      <c r="J50" s="43">
        <v>2000</v>
      </c>
      <c r="K50" s="18">
        <f t="shared" si="1"/>
        <v>125</v>
      </c>
      <c r="L50" s="256">
        <v>16</v>
      </c>
      <c r="M50" s="19">
        <f t="shared" si="39"/>
        <v>1909.3902439024384</v>
      </c>
      <c r="N50" s="19">
        <f t="shared" si="3"/>
        <v>119.3368902439024</v>
      </c>
      <c r="O50" s="20">
        <f t="shared" si="4"/>
        <v>0</v>
      </c>
      <c r="P50" s="21">
        <f t="shared" si="5"/>
        <v>-5.6631097560975974</v>
      </c>
      <c r="Q50" s="252">
        <f t="shared" si="6"/>
        <v>0.95469512195121919</v>
      </c>
      <c r="R50" s="573"/>
      <c r="S50" s="49">
        <v>0.39097222222222217</v>
      </c>
      <c r="T50" s="49">
        <v>0.50486111111111109</v>
      </c>
      <c r="U50" s="251">
        <f t="shared" si="38"/>
        <v>6.9999999999999751</v>
      </c>
      <c r="V50" s="257">
        <f t="shared" si="37"/>
        <v>164.00000000000006</v>
      </c>
      <c r="W50" s="25">
        <f>T50</f>
        <v>0.50486111111111109</v>
      </c>
      <c r="X50" s="25">
        <f>S51</f>
        <v>0.5444444444444444</v>
      </c>
      <c r="Y50" s="28"/>
      <c r="Z50" s="28"/>
      <c r="AA50" s="575"/>
      <c r="AB50" s="575"/>
      <c r="AC50" s="50"/>
      <c r="AD50" s="27"/>
      <c r="AE50" s="20">
        <f t="shared" si="8"/>
        <v>-90.609756097561558</v>
      </c>
      <c r="AF50" s="252">
        <f t="shared" si="9"/>
        <v>0.95469512195121919</v>
      </c>
      <c r="AG50" s="573"/>
    </row>
    <row r="51" spans="1:33" ht="15.75" customHeight="1">
      <c r="A51" s="582" t="s">
        <v>1422</v>
      </c>
      <c r="B51" s="39" t="s">
        <v>74</v>
      </c>
      <c r="C51" s="566" t="s">
        <v>88</v>
      </c>
      <c r="D51" s="567"/>
      <c r="E51" s="39">
        <v>59.04</v>
      </c>
      <c r="F51" s="45">
        <v>2510</v>
      </c>
      <c r="G51" s="251">
        <f t="shared" si="35"/>
        <v>148190.39999999999</v>
      </c>
      <c r="H51" s="48" t="s">
        <v>126</v>
      </c>
      <c r="I51" s="256">
        <v>19</v>
      </c>
      <c r="J51" s="43">
        <v>2000</v>
      </c>
      <c r="K51" s="18">
        <f t="shared" si="1"/>
        <v>105.26315789473684</v>
      </c>
      <c r="L51" s="256">
        <v>19</v>
      </c>
      <c r="M51" s="19">
        <f t="shared" si="39"/>
        <v>1906.3291139240498</v>
      </c>
      <c r="N51" s="19">
        <f t="shared" si="3"/>
        <v>100.33311125916052</v>
      </c>
      <c r="O51" s="20">
        <f t="shared" si="4"/>
        <v>0</v>
      </c>
      <c r="P51" s="21">
        <f t="shared" si="5"/>
        <v>-4.9300466355763177</v>
      </c>
      <c r="Q51" s="252">
        <f t="shared" si="6"/>
        <v>0.95316455696202496</v>
      </c>
      <c r="R51" s="573"/>
      <c r="S51" s="49">
        <v>0.5444444444444444</v>
      </c>
      <c r="T51" s="49">
        <v>0.59930555555555554</v>
      </c>
      <c r="U51" s="251">
        <f t="shared" si="38"/>
        <v>56.999999999999957</v>
      </c>
      <c r="V51" s="257">
        <f t="shared" si="37"/>
        <v>79.000000000000043</v>
      </c>
      <c r="W51" s="25"/>
      <c r="X51" s="25"/>
      <c r="Y51" s="28"/>
      <c r="Z51" s="28"/>
      <c r="AA51" s="568"/>
      <c r="AB51" s="569"/>
      <c r="AC51" s="50"/>
      <c r="AD51" s="27"/>
      <c r="AE51" s="20">
        <f t="shared" si="8"/>
        <v>-93.670886075950193</v>
      </c>
      <c r="AF51" s="252">
        <f t="shared" si="9"/>
        <v>0.95316455696202496</v>
      </c>
      <c r="AG51" s="573"/>
    </row>
    <row r="52" spans="1:33" ht="15.75" customHeight="1">
      <c r="A52" s="582" t="s">
        <v>1423</v>
      </c>
      <c r="B52" s="39" t="s">
        <v>74</v>
      </c>
      <c r="C52" s="566" t="s">
        <v>112</v>
      </c>
      <c r="D52" s="567"/>
      <c r="E52" s="39">
        <v>55.32</v>
      </c>
      <c r="F52" s="45">
        <v>469</v>
      </c>
      <c r="G52" s="251">
        <f t="shared" si="35"/>
        <v>25945.08</v>
      </c>
      <c r="H52" s="48" t="s">
        <v>126</v>
      </c>
      <c r="I52" s="256">
        <v>15</v>
      </c>
      <c r="J52" s="43">
        <v>2000</v>
      </c>
      <c r="K52" s="18">
        <f t="shared" si="1"/>
        <v>133.33333333333334</v>
      </c>
      <c r="L52" s="256">
        <v>15</v>
      </c>
      <c r="M52" s="19">
        <f t="shared" si="39"/>
        <v>1876.0000000000068</v>
      </c>
      <c r="N52" s="19">
        <f t="shared" si="3"/>
        <v>125.06666666666712</v>
      </c>
      <c r="O52" s="20">
        <f t="shared" si="4"/>
        <v>0</v>
      </c>
      <c r="P52" s="21">
        <f t="shared" si="5"/>
        <v>-8.2666666666662252</v>
      </c>
      <c r="Q52" s="252">
        <f t="shared" si="6"/>
        <v>0.93800000000000328</v>
      </c>
      <c r="R52" s="573"/>
      <c r="S52" s="49">
        <v>0.70833333333333337</v>
      </c>
      <c r="T52" s="49">
        <v>0.71875</v>
      </c>
      <c r="U52" s="251" t="str">
        <f t="shared" si="38"/>
        <v/>
      </c>
      <c r="V52" s="257">
        <f t="shared" si="37"/>
        <v>14.999999999999947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-123.99999999999318</v>
      </c>
      <c r="AF52" s="252">
        <f t="shared" si="9"/>
        <v>0.93800000000000339</v>
      </c>
      <c r="AG52" s="573"/>
    </row>
    <row r="53" spans="1:33" ht="15.75" customHeight="1">
      <c r="A53" s="582" t="s">
        <v>1424</v>
      </c>
      <c r="B53" s="39" t="s">
        <v>74</v>
      </c>
      <c r="C53" s="566" t="s">
        <v>113</v>
      </c>
      <c r="D53" s="567"/>
      <c r="E53" s="39">
        <v>55.56</v>
      </c>
      <c r="F53" s="45">
        <v>2041</v>
      </c>
      <c r="G53" s="251">
        <f t="shared" si="35"/>
        <v>113397.96</v>
      </c>
      <c r="H53" s="48" t="s">
        <v>126</v>
      </c>
      <c r="I53" s="256">
        <v>17</v>
      </c>
      <c r="J53" s="43">
        <v>2000</v>
      </c>
      <c r="K53" s="18">
        <f t="shared" si="1"/>
        <v>117.64705882352941</v>
      </c>
      <c r="L53" s="256">
        <v>17</v>
      </c>
      <c r="M53" s="19">
        <f t="shared" si="39"/>
        <v>1913.437500000002</v>
      </c>
      <c r="N53" s="19">
        <f t="shared" si="3"/>
        <v>112.55514705882365</v>
      </c>
      <c r="O53" s="20">
        <f t="shared" si="4"/>
        <v>0</v>
      </c>
      <c r="P53" s="21">
        <f t="shared" si="5"/>
        <v>-5.0919117647057561</v>
      </c>
      <c r="Q53" s="252">
        <f t="shared" si="6"/>
        <v>0.95671875000000106</v>
      </c>
      <c r="R53" s="573"/>
      <c r="S53" s="49">
        <v>0.72222222222222221</v>
      </c>
      <c r="T53" s="49">
        <v>0.76666666666666661</v>
      </c>
      <c r="U53" s="251">
        <f t="shared" si="38"/>
        <v>4.9999999999999822</v>
      </c>
      <c r="V53" s="257">
        <f t="shared" si="37"/>
        <v>63.999999999999929</v>
      </c>
      <c r="W53" s="25"/>
      <c r="X53" s="25"/>
      <c r="Y53" s="28"/>
      <c r="Z53" s="28"/>
      <c r="AA53" s="568"/>
      <c r="AB53" s="569"/>
      <c r="AC53" s="50"/>
      <c r="AD53" s="27"/>
      <c r="AE53" s="20">
        <f t="shared" si="8"/>
        <v>-86.562499999997954</v>
      </c>
      <c r="AF53" s="252">
        <f t="shared" si="9"/>
        <v>0.95671875000000106</v>
      </c>
      <c r="AG53" s="573"/>
    </row>
    <row r="54" spans="1:33">
      <c r="A54" s="582" t="s">
        <v>1419</v>
      </c>
      <c r="B54" s="39" t="s">
        <v>74</v>
      </c>
      <c r="C54" s="245" t="s">
        <v>114</v>
      </c>
      <c r="D54" s="246"/>
      <c r="E54" s="39">
        <v>54.29</v>
      </c>
      <c r="F54" s="45">
        <v>1046</v>
      </c>
      <c r="G54" s="251">
        <f t="shared" si="35"/>
        <v>56787.34</v>
      </c>
      <c r="H54" s="48" t="s">
        <v>126</v>
      </c>
      <c r="I54" s="256">
        <v>20</v>
      </c>
      <c r="J54" s="43">
        <v>2000</v>
      </c>
      <c r="K54" s="18">
        <f t="shared" si="1"/>
        <v>100</v>
      </c>
      <c r="L54" s="256">
        <v>20</v>
      </c>
      <c r="M54" s="19">
        <f t="shared" si="39"/>
        <v>1901.8181818181795</v>
      </c>
      <c r="N54" s="19">
        <f t="shared" si="3"/>
        <v>95.09090909090898</v>
      </c>
      <c r="O54" s="20">
        <f t="shared" si="4"/>
        <v>0</v>
      </c>
      <c r="P54" s="21">
        <f t="shared" si="5"/>
        <v>-4.9090909090910202</v>
      </c>
      <c r="Q54" s="252">
        <f t="shared" si="6"/>
        <v>0.95090909090908982</v>
      </c>
      <c r="R54" s="573"/>
      <c r="S54" s="49">
        <v>0.77013888888888882</v>
      </c>
      <c r="T54" s="49">
        <v>0.79305555555555551</v>
      </c>
      <c r="U54" s="251">
        <f t="shared" si="38"/>
        <v>4.9999999999999822</v>
      </c>
      <c r="V54" s="257">
        <f t="shared" si="37"/>
        <v>33.000000000000043</v>
      </c>
      <c r="W54" s="25"/>
      <c r="X54" s="25"/>
      <c r="Y54" s="28"/>
      <c r="Z54" s="28"/>
      <c r="AA54" s="247"/>
      <c r="AB54" s="248"/>
      <c r="AC54" s="50"/>
      <c r="AD54" s="27"/>
      <c r="AE54" s="20">
        <f t="shared" si="8"/>
        <v>-98.181818181820518</v>
      </c>
      <c r="AF54" s="252">
        <f t="shared" si="9"/>
        <v>0.9509090909090897</v>
      </c>
      <c r="AG54" s="573"/>
    </row>
    <row r="55" spans="1:33">
      <c r="A55" s="583" t="s">
        <v>1425</v>
      </c>
      <c r="B55" s="39" t="s">
        <v>1426</v>
      </c>
      <c r="C55" s="576"/>
      <c r="D55" s="576"/>
      <c r="E55" s="253"/>
      <c r="F55" s="42"/>
      <c r="G55" s="18"/>
      <c r="H55" s="258"/>
      <c r="I55" s="32">
        <v>18.777777777777779</v>
      </c>
      <c r="J55" s="43">
        <v>2000</v>
      </c>
      <c r="K55" s="18">
        <f t="shared" si="1"/>
        <v>106.50887573964496</v>
      </c>
      <c r="L55" s="32">
        <v>18.777777777777779</v>
      </c>
      <c r="M55" s="19">
        <f>AVERAGE(M46:M54)</f>
        <v>1910.9396821815822</v>
      </c>
      <c r="N55" s="18">
        <f t="shared" si="3"/>
        <v>101.76601857771739</v>
      </c>
      <c r="O55" s="20">
        <f t="shared" si="4"/>
        <v>0</v>
      </c>
      <c r="P55" s="21">
        <f t="shared" si="5"/>
        <v>-4.7428571619275743</v>
      </c>
      <c r="Q55" s="252">
        <f t="shared" si="6"/>
        <v>0.95546984109079114</v>
      </c>
      <c r="R55" s="573"/>
      <c r="S55" s="49"/>
      <c r="T55" s="49"/>
      <c r="U55" s="251"/>
      <c r="V55" s="257"/>
      <c r="W55" s="18"/>
      <c r="X55" s="18"/>
      <c r="Y55" s="33">
        <f>SUM(Y46:Y54)</f>
        <v>0</v>
      </c>
      <c r="Z55" s="33">
        <f>SUM(Z46:Z54)</f>
        <v>0</v>
      </c>
      <c r="AA55" s="572"/>
      <c r="AB55" s="572"/>
      <c r="AC55" s="33">
        <v>9</v>
      </c>
      <c r="AD55" s="33">
        <f>SUM(AD46:AD54)</f>
        <v>0</v>
      </c>
      <c r="AE55" s="20">
        <f>M55-J55</f>
        <v>-89.060317818417843</v>
      </c>
      <c r="AF55" s="252">
        <f t="shared" si="9"/>
        <v>0.95546984109079103</v>
      </c>
      <c r="AG55" s="573"/>
    </row>
    <row r="56" spans="1:33" ht="15.75" customHeight="1">
      <c r="A56" s="580" t="s">
        <v>1427</v>
      </c>
      <c r="B56" s="258" t="s">
        <v>104</v>
      </c>
      <c r="C56" s="574" t="s">
        <v>115</v>
      </c>
      <c r="D56" s="574"/>
      <c r="E56" s="39">
        <v>34.36</v>
      </c>
      <c r="F56" s="45">
        <v>2296</v>
      </c>
      <c r="G56" s="251">
        <f t="shared" ref="G56:G61" si="40">E56*F56</f>
        <v>78890.559999999998</v>
      </c>
      <c r="H56" s="48" t="s">
        <v>126</v>
      </c>
      <c r="I56" s="256">
        <v>10</v>
      </c>
      <c r="J56" s="43">
        <v>3000</v>
      </c>
      <c r="K56" s="18">
        <f t="shared" si="1"/>
        <v>300</v>
      </c>
      <c r="L56" s="256">
        <v>10</v>
      </c>
      <c r="M56" s="19">
        <f t="shared" ref="M56:M61" si="41">F56/V56*60</f>
        <v>2870.0000000000009</v>
      </c>
      <c r="N56" s="18">
        <f t="shared" si="3"/>
        <v>287.00000000000011</v>
      </c>
      <c r="O56" s="20">
        <f t="shared" si="4"/>
        <v>0</v>
      </c>
      <c r="P56" s="21">
        <f t="shared" si="5"/>
        <v>-12.999999999999886</v>
      </c>
      <c r="Q56" s="252">
        <f t="shared" si="6"/>
        <v>0.956666666666667</v>
      </c>
      <c r="R56" s="573">
        <f>Q62</f>
        <v>0.96584418341904354</v>
      </c>
      <c r="S56" s="49">
        <v>0.20833333333333334</v>
      </c>
      <c r="T56" s="49">
        <v>0.24166666666666667</v>
      </c>
      <c r="U56" s="251"/>
      <c r="V56" s="257">
        <f t="shared" ref="V56:V61" si="42">(T56-S56)*24*60</f>
        <v>47.999999999999986</v>
      </c>
      <c r="W56" s="30"/>
      <c r="X56" s="30"/>
      <c r="Y56" s="30"/>
      <c r="Z56" s="30"/>
      <c r="AA56" s="575"/>
      <c r="AB56" s="575"/>
      <c r="AC56" s="50">
        <v>6</v>
      </c>
      <c r="AD56" s="27"/>
      <c r="AE56" s="20">
        <f t="shared" ref="AE56:AE72" si="43">M56-J56</f>
        <v>-129.99999999999909</v>
      </c>
      <c r="AF56" s="252">
        <f t="shared" si="9"/>
        <v>0.956666666666667</v>
      </c>
      <c r="AG56" s="573">
        <f>AF62</f>
        <v>0.96584418341904343</v>
      </c>
    </row>
    <row r="57" spans="1:33" ht="15.75" customHeight="1">
      <c r="A57" s="580" t="s">
        <v>1428</v>
      </c>
      <c r="B57" s="258" t="s">
        <v>104</v>
      </c>
      <c r="C57" s="574" t="s">
        <v>116</v>
      </c>
      <c r="D57" s="574"/>
      <c r="E57" s="39">
        <v>34.36</v>
      </c>
      <c r="F57" s="45">
        <v>1171</v>
      </c>
      <c r="G57" s="251">
        <f t="shared" si="40"/>
        <v>40235.56</v>
      </c>
      <c r="H57" s="48" t="s">
        <v>126</v>
      </c>
      <c r="I57" s="256">
        <v>10</v>
      </c>
      <c r="J57" s="43">
        <v>3000</v>
      </c>
      <c r="K57" s="18">
        <f t="shared" si="1"/>
        <v>300</v>
      </c>
      <c r="L57" s="256">
        <v>10</v>
      </c>
      <c r="M57" s="19">
        <f t="shared" si="41"/>
        <v>2927.5000000000009</v>
      </c>
      <c r="N57" s="18">
        <f t="shared" si="3"/>
        <v>292.75000000000011</v>
      </c>
      <c r="O57" s="20">
        <f t="shared" si="4"/>
        <v>0</v>
      </c>
      <c r="P57" s="21">
        <f t="shared" si="5"/>
        <v>-7.2499999999998863</v>
      </c>
      <c r="Q57" s="252">
        <f t="shared" si="6"/>
        <v>0.97583333333333366</v>
      </c>
      <c r="R57" s="573"/>
      <c r="S57" s="49">
        <v>0.24652777777777779</v>
      </c>
      <c r="T57" s="49">
        <v>0.26319444444444445</v>
      </c>
      <c r="U57" s="251">
        <f t="shared" ref="U57:U61" si="44">(S57-T56)*24*60</f>
        <v>7.0000000000000151</v>
      </c>
      <c r="V57" s="257">
        <f t="shared" si="42"/>
        <v>23.999999999999993</v>
      </c>
      <c r="W57" s="251"/>
      <c r="X57" s="251"/>
      <c r="Y57" s="251"/>
      <c r="Z57" s="251"/>
      <c r="AA57" s="575"/>
      <c r="AB57" s="575"/>
      <c r="AC57" s="50"/>
      <c r="AD57" s="27"/>
      <c r="AE57" s="20">
        <f t="shared" si="43"/>
        <v>-72.499999999999091</v>
      </c>
      <c r="AF57" s="252">
        <f t="shared" si="9"/>
        <v>0.97583333333333366</v>
      </c>
      <c r="AG57" s="573"/>
    </row>
    <row r="58" spans="1:33" ht="15.75" customHeight="1">
      <c r="A58" s="580" t="s">
        <v>1429</v>
      </c>
      <c r="B58" s="258" t="s">
        <v>104</v>
      </c>
      <c r="C58" s="574" t="s">
        <v>117</v>
      </c>
      <c r="D58" s="574"/>
      <c r="E58" s="39">
        <v>26.78</v>
      </c>
      <c r="F58" s="45">
        <v>2324</v>
      </c>
      <c r="G58" s="251">
        <f t="shared" si="40"/>
        <v>62236.72</v>
      </c>
      <c r="H58" s="48" t="s">
        <v>126</v>
      </c>
      <c r="I58" s="256">
        <v>10</v>
      </c>
      <c r="J58" s="43">
        <v>3000</v>
      </c>
      <c r="K58" s="18">
        <f t="shared" si="1"/>
        <v>300</v>
      </c>
      <c r="L58" s="256">
        <v>10</v>
      </c>
      <c r="M58" s="19">
        <f t="shared" si="41"/>
        <v>2905.0000000000009</v>
      </c>
      <c r="N58" s="18">
        <f t="shared" si="3"/>
        <v>290.50000000000011</v>
      </c>
      <c r="O58" s="20">
        <f t="shared" si="4"/>
        <v>0</v>
      </c>
      <c r="P58" s="21">
        <f t="shared" si="5"/>
        <v>-9.4999999999998863</v>
      </c>
      <c r="Q58" s="252">
        <f t="shared" si="6"/>
        <v>0.96833333333333371</v>
      </c>
      <c r="R58" s="573"/>
      <c r="S58" s="49">
        <v>0.26666666666666666</v>
      </c>
      <c r="T58" s="49">
        <v>0.3</v>
      </c>
      <c r="U58" s="251">
        <f t="shared" si="44"/>
        <v>4.9999999999999822</v>
      </c>
      <c r="V58" s="257">
        <f t="shared" si="42"/>
        <v>47.999999999999986</v>
      </c>
      <c r="W58" s="251"/>
      <c r="X58" s="251"/>
      <c r="Y58" s="251"/>
      <c r="Z58" s="251"/>
      <c r="AA58" s="575"/>
      <c r="AB58" s="575"/>
      <c r="AC58" s="50"/>
      <c r="AD58" s="27"/>
      <c r="AE58" s="20">
        <f t="shared" si="43"/>
        <v>-94.999999999999091</v>
      </c>
      <c r="AF58" s="252">
        <f t="shared" si="9"/>
        <v>0.9683333333333336</v>
      </c>
      <c r="AG58" s="573"/>
    </row>
    <row r="59" spans="1:33" ht="15.75" customHeight="1">
      <c r="A59" s="580" t="s">
        <v>1430</v>
      </c>
      <c r="B59" s="258" t="s">
        <v>104</v>
      </c>
      <c r="C59" s="574" t="s">
        <v>118</v>
      </c>
      <c r="D59" s="574"/>
      <c r="E59" s="39">
        <v>37.880000000000003</v>
      </c>
      <c r="F59" s="45">
        <v>1503</v>
      </c>
      <c r="G59" s="251">
        <f t="shared" si="40"/>
        <v>56933.640000000007</v>
      </c>
      <c r="H59" s="48" t="s">
        <v>126</v>
      </c>
      <c r="I59" s="256">
        <v>10</v>
      </c>
      <c r="J59" s="43">
        <v>3000</v>
      </c>
      <c r="K59" s="18">
        <f t="shared" si="1"/>
        <v>300</v>
      </c>
      <c r="L59" s="256">
        <v>10</v>
      </c>
      <c r="M59" s="19">
        <f t="shared" si="41"/>
        <v>2909.0322580645188</v>
      </c>
      <c r="N59" s="18">
        <f t="shared" si="3"/>
        <v>290.90322580645187</v>
      </c>
      <c r="O59" s="20">
        <f t="shared" si="4"/>
        <v>0</v>
      </c>
      <c r="P59" s="21">
        <f t="shared" si="5"/>
        <v>-9.0967741935481286</v>
      </c>
      <c r="Q59" s="252">
        <f t="shared" si="6"/>
        <v>0.96967741935483953</v>
      </c>
      <c r="R59" s="573"/>
      <c r="S59" s="49">
        <v>0.30416666666666664</v>
      </c>
      <c r="T59" s="49">
        <v>0.3256944444444444</v>
      </c>
      <c r="U59" s="251">
        <f t="shared" si="44"/>
        <v>5.9999999999999787</v>
      </c>
      <c r="V59" s="257">
        <f t="shared" si="42"/>
        <v>30.999999999999972</v>
      </c>
      <c r="W59" s="251"/>
      <c r="X59" s="251"/>
      <c r="Y59" s="251"/>
      <c r="Z59" s="251"/>
      <c r="AA59" s="575"/>
      <c r="AB59" s="575"/>
      <c r="AC59" s="50"/>
      <c r="AD59" s="27"/>
      <c r="AE59" s="20">
        <f t="shared" si="43"/>
        <v>-90.967741935481172</v>
      </c>
      <c r="AF59" s="252">
        <f t="shared" si="9"/>
        <v>0.96967741935483964</v>
      </c>
      <c r="AG59" s="573"/>
    </row>
    <row r="60" spans="1:33">
      <c r="A60" s="581" t="s">
        <v>1431</v>
      </c>
      <c r="B60" s="258" t="s">
        <v>104</v>
      </c>
      <c r="C60" s="574" t="s">
        <v>119</v>
      </c>
      <c r="D60" s="574"/>
      <c r="E60" s="39">
        <v>35.869999999999997</v>
      </c>
      <c r="F60" s="45">
        <v>3853</v>
      </c>
      <c r="G60" s="251">
        <f t="shared" si="40"/>
        <v>138207.10999999999</v>
      </c>
      <c r="H60" s="48" t="s">
        <v>126</v>
      </c>
      <c r="I60" s="256">
        <v>9</v>
      </c>
      <c r="J60" s="43">
        <v>3000</v>
      </c>
      <c r="K60" s="18">
        <f t="shared" si="1"/>
        <v>333.33333333333331</v>
      </c>
      <c r="L60" s="256">
        <v>9</v>
      </c>
      <c r="M60" s="19">
        <f t="shared" si="41"/>
        <v>2889.7499999999986</v>
      </c>
      <c r="N60" s="18">
        <f t="shared" si="3"/>
        <v>321.0833333333332</v>
      </c>
      <c r="O60" s="20">
        <f t="shared" si="4"/>
        <v>0</v>
      </c>
      <c r="P60" s="21">
        <f t="shared" si="5"/>
        <v>-12.250000000000114</v>
      </c>
      <c r="Q60" s="252">
        <f t="shared" si="6"/>
        <v>0.96324999999999961</v>
      </c>
      <c r="R60" s="573"/>
      <c r="S60" s="49">
        <v>0.33124999999999993</v>
      </c>
      <c r="T60" s="49">
        <v>0.38680555555555551</v>
      </c>
      <c r="U60" s="251">
        <f t="shared" si="44"/>
        <v>7.9999999999999716</v>
      </c>
      <c r="V60" s="257">
        <f t="shared" si="42"/>
        <v>80.000000000000028</v>
      </c>
      <c r="W60" s="25"/>
      <c r="X60" s="25"/>
      <c r="Y60" s="25"/>
      <c r="Z60" s="25"/>
      <c r="AA60" s="575"/>
      <c r="AB60" s="575"/>
      <c r="AC60" s="50"/>
      <c r="AD60" s="27"/>
      <c r="AE60" s="20">
        <f t="shared" si="43"/>
        <v>-110.25000000000136</v>
      </c>
      <c r="AF60" s="252">
        <f t="shared" si="9"/>
        <v>0.9632499999999995</v>
      </c>
      <c r="AG60" s="573"/>
    </row>
    <row r="61" spans="1:33" ht="15" customHeight="1">
      <c r="A61" s="581" t="s">
        <v>1432</v>
      </c>
      <c r="B61" s="258" t="s">
        <v>104</v>
      </c>
      <c r="C61" s="566" t="s">
        <v>120</v>
      </c>
      <c r="D61" s="567"/>
      <c r="E61" s="39">
        <v>34.35</v>
      </c>
      <c r="F61" s="45">
        <v>2211</v>
      </c>
      <c r="G61" s="251">
        <f t="shared" si="40"/>
        <v>75947.850000000006</v>
      </c>
      <c r="H61" s="48" t="s">
        <v>126</v>
      </c>
      <c r="I61" s="256">
        <v>8</v>
      </c>
      <c r="J61" s="43">
        <v>3000</v>
      </c>
      <c r="K61" s="18">
        <f t="shared" si="1"/>
        <v>375</v>
      </c>
      <c r="L61" s="256">
        <v>8</v>
      </c>
      <c r="M61" s="19">
        <f t="shared" si="41"/>
        <v>2883.913043478261</v>
      </c>
      <c r="N61" s="18">
        <f t="shared" si="3"/>
        <v>360.48913043478262</v>
      </c>
      <c r="O61" s="20">
        <f t="shared" si="4"/>
        <v>0</v>
      </c>
      <c r="P61" s="21">
        <f t="shared" si="5"/>
        <v>-14.510869565217376</v>
      </c>
      <c r="Q61" s="252">
        <f t="shared" si="6"/>
        <v>0.96130434782608698</v>
      </c>
      <c r="R61" s="573"/>
      <c r="S61" s="49">
        <v>0.39097222222222217</v>
      </c>
      <c r="T61" s="49">
        <v>0.42291666666666661</v>
      </c>
      <c r="U61" s="251">
        <f t="shared" si="44"/>
        <v>5.9999999999999787</v>
      </c>
      <c r="V61" s="257">
        <f t="shared" si="42"/>
        <v>46</v>
      </c>
      <c r="W61" s="251"/>
      <c r="X61" s="251"/>
      <c r="Y61" s="247"/>
      <c r="Z61" s="247"/>
      <c r="AA61" s="568"/>
      <c r="AB61" s="569"/>
      <c r="AC61" s="50"/>
      <c r="AD61" s="27"/>
      <c r="AE61" s="20">
        <f t="shared" si="43"/>
        <v>-116.08695652173901</v>
      </c>
      <c r="AF61" s="252">
        <f t="shared" si="9"/>
        <v>0.96130434782608698</v>
      </c>
      <c r="AG61" s="573"/>
    </row>
    <row r="62" spans="1:33">
      <c r="A62" s="581" t="s">
        <v>1433</v>
      </c>
      <c r="B62" s="39" t="s">
        <v>1434</v>
      </c>
      <c r="C62" s="576"/>
      <c r="D62" s="576"/>
      <c r="E62" s="253"/>
      <c r="F62" s="42"/>
      <c r="G62" s="18"/>
      <c r="H62" s="258"/>
      <c r="I62" s="32">
        <v>9.5</v>
      </c>
      <c r="J62" s="43">
        <v>3000</v>
      </c>
      <c r="K62" s="18">
        <f t="shared" si="1"/>
        <v>315.78947368421052</v>
      </c>
      <c r="L62" s="32">
        <v>9.5</v>
      </c>
      <c r="M62" s="19">
        <f>AVERAGE(M56:M61)</f>
        <v>2897.5325502571304</v>
      </c>
      <c r="N62" s="18">
        <f t="shared" si="3"/>
        <v>305.00342634285585</v>
      </c>
      <c r="O62" s="20">
        <f t="shared" si="4"/>
        <v>0</v>
      </c>
      <c r="P62" s="21">
        <f t="shared" si="5"/>
        <v>-10.786047341354674</v>
      </c>
      <c r="Q62" s="252">
        <f t="shared" si="6"/>
        <v>0.96584418341904354</v>
      </c>
      <c r="R62" s="573"/>
      <c r="S62" s="49"/>
      <c r="T62" s="49"/>
      <c r="U62" s="18"/>
      <c r="V62" s="257"/>
      <c r="W62" s="18"/>
      <c r="X62" s="18"/>
      <c r="Y62" s="33">
        <f>SUM(Y56:Y61)</f>
        <v>0</v>
      </c>
      <c r="Z62" s="33">
        <f>SUM(Z56:Z61)</f>
        <v>0</v>
      </c>
      <c r="AA62" s="572"/>
      <c r="AB62" s="572"/>
      <c r="AC62" s="33">
        <v>6</v>
      </c>
      <c r="AD62" s="33">
        <f>SUM(AD56:AD61)</f>
        <v>0</v>
      </c>
      <c r="AE62" s="20">
        <f t="shared" si="43"/>
        <v>-102.46744974286958</v>
      </c>
      <c r="AF62" s="252">
        <f t="shared" si="9"/>
        <v>0.96584418341904343</v>
      </c>
      <c r="AG62" s="573"/>
    </row>
    <row r="63" spans="1:33" ht="15.75" customHeight="1">
      <c r="A63" s="577" t="s">
        <v>1435</v>
      </c>
      <c r="B63" s="258" t="s">
        <v>94</v>
      </c>
      <c r="C63" s="574" t="s">
        <v>124</v>
      </c>
      <c r="D63" s="574"/>
      <c r="E63" s="39">
        <v>22.69</v>
      </c>
      <c r="F63" s="258">
        <v>2900</v>
      </c>
      <c r="G63" s="251">
        <f t="shared" ref="G63:G71" si="45">E63*F63</f>
        <v>65801</v>
      </c>
      <c r="H63" s="48">
        <v>2</v>
      </c>
      <c r="I63" s="256">
        <v>15</v>
      </c>
      <c r="J63" s="43">
        <v>2400</v>
      </c>
      <c r="K63" s="18">
        <f t="shared" si="1"/>
        <v>160</v>
      </c>
      <c r="L63" s="256">
        <v>15</v>
      </c>
      <c r="M63" s="19">
        <f t="shared" ref="M63:M71" si="46">F63/V63*60</f>
        <v>2289.4736842105262</v>
      </c>
      <c r="N63" s="18">
        <f t="shared" si="3"/>
        <v>152.63157894736841</v>
      </c>
      <c r="O63" s="20">
        <f t="shared" si="4"/>
        <v>0</v>
      </c>
      <c r="P63" s="21">
        <f t="shared" si="5"/>
        <v>-7.3684210526315894</v>
      </c>
      <c r="Q63" s="252">
        <f t="shared" si="6"/>
        <v>0.95394736842105254</v>
      </c>
      <c r="R63" s="573">
        <f>Q72</f>
        <v>0.95460240610403357</v>
      </c>
      <c r="S63" s="49">
        <v>8.3333333333333329E-2</v>
      </c>
      <c r="T63" s="49">
        <v>0.1361111111111111</v>
      </c>
      <c r="U63" s="30"/>
      <c r="V63" s="257">
        <f t="shared" ref="V63:V71" si="47">(T63-S63)*24*60</f>
        <v>76</v>
      </c>
      <c r="W63" s="25">
        <f>T63</f>
        <v>0.1361111111111111</v>
      </c>
      <c r="X63" s="25">
        <f>S64</f>
        <v>0.15486111111111109</v>
      </c>
      <c r="Y63" s="25"/>
      <c r="Z63" s="25"/>
      <c r="AA63" s="575"/>
      <c r="AB63" s="575"/>
      <c r="AC63" s="50">
        <v>9</v>
      </c>
      <c r="AD63" s="27"/>
      <c r="AE63" s="20">
        <f t="shared" si="43"/>
        <v>-110.52631578947376</v>
      </c>
      <c r="AF63" s="252">
        <f t="shared" si="9"/>
        <v>0.95394736842105265</v>
      </c>
      <c r="AG63" s="573">
        <f>AF72</f>
        <v>0.95460240610403346</v>
      </c>
    </row>
    <row r="64" spans="1:33" ht="15.75" customHeight="1">
      <c r="A64" s="578" t="s">
        <v>1436</v>
      </c>
      <c r="B64" s="258" t="s">
        <v>94</v>
      </c>
      <c r="C64" s="574" t="s">
        <v>123</v>
      </c>
      <c r="D64" s="574"/>
      <c r="E64" s="39">
        <v>20.21</v>
      </c>
      <c r="F64" s="258">
        <v>3273</v>
      </c>
      <c r="G64" s="251">
        <f t="shared" si="45"/>
        <v>66147.33</v>
      </c>
      <c r="H64" s="48" t="s">
        <v>126</v>
      </c>
      <c r="I64" s="256">
        <v>15</v>
      </c>
      <c r="J64" s="43">
        <v>2400</v>
      </c>
      <c r="K64" s="18">
        <f t="shared" si="1"/>
        <v>160</v>
      </c>
      <c r="L64" s="256">
        <v>15</v>
      </c>
      <c r="M64" s="19">
        <f t="shared" si="46"/>
        <v>2283.4883720930229</v>
      </c>
      <c r="N64" s="18">
        <f t="shared" si="3"/>
        <v>152.23255813953486</v>
      </c>
      <c r="O64" s="20">
        <f t="shared" si="4"/>
        <v>0</v>
      </c>
      <c r="P64" s="21">
        <f t="shared" si="5"/>
        <v>-7.7674418604651407</v>
      </c>
      <c r="Q64" s="252">
        <f t="shared" si="6"/>
        <v>0.95145348837209287</v>
      </c>
      <c r="R64" s="573"/>
      <c r="S64" s="49">
        <v>0.15486111111111109</v>
      </c>
      <c r="T64" s="49">
        <v>0.21458333333333332</v>
      </c>
      <c r="U64" s="251">
        <f t="shared" ref="U64:U71" si="48">(S64-T63)*24*60</f>
        <v>26.999999999999986</v>
      </c>
      <c r="V64" s="257">
        <f t="shared" si="47"/>
        <v>86.000000000000014</v>
      </c>
      <c r="W64" s="25"/>
      <c r="X64" s="25"/>
      <c r="Y64" s="25"/>
      <c r="Z64" s="25"/>
      <c r="AA64" s="575"/>
      <c r="AB64" s="575"/>
      <c r="AC64" s="50"/>
      <c r="AD64" s="27"/>
      <c r="AE64" s="20">
        <f t="shared" si="43"/>
        <v>-116.51162790697708</v>
      </c>
      <c r="AF64" s="252">
        <f t="shared" si="9"/>
        <v>0.95145348837209287</v>
      </c>
      <c r="AG64" s="573"/>
    </row>
    <row r="65" spans="1:33" ht="15.75" customHeight="1">
      <c r="A65" s="578" t="s">
        <v>1437</v>
      </c>
      <c r="B65" s="258" t="s">
        <v>94</v>
      </c>
      <c r="C65" s="574" t="s">
        <v>125</v>
      </c>
      <c r="D65" s="574"/>
      <c r="E65" s="39">
        <v>19.02</v>
      </c>
      <c r="F65" s="258">
        <v>5300</v>
      </c>
      <c r="G65" s="251">
        <f t="shared" si="45"/>
        <v>100806</v>
      </c>
      <c r="H65" s="48">
        <v>2</v>
      </c>
      <c r="I65" s="256">
        <v>14</v>
      </c>
      <c r="J65" s="43">
        <v>2400</v>
      </c>
      <c r="K65" s="18">
        <f t="shared" si="1"/>
        <v>171.42857142857142</v>
      </c>
      <c r="L65" s="256">
        <v>14</v>
      </c>
      <c r="M65" s="19">
        <f t="shared" si="46"/>
        <v>2287.7697841726617</v>
      </c>
      <c r="N65" s="18">
        <f t="shared" si="3"/>
        <v>163.41212744090441</v>
      </c>
      <c r="O65" s="20">
        <f t="shared" si="4"/>
        <v>0</v>
      </c>
      <c r="P65" s="21">
        <f t="shared" si="5"/>
        <v>-8.0164439876670031</v>
      </c>
      <c r="Q65" s="252">
        <f t="shared" si="6"/>
        <v>0.95323741007194251</v>
      </c>
      <c r="R65" s="573"/>
      <c r="S65" s="49">
        <v>0.21944444444444444</v>
      </c>
      <c r="T65" s="49">
        <v>0.31597222222222221</v>
      </c>
      <c r="U65" s="251">
        <f t="shared" si="48"/>
        <v>7.0000000000000151</v>
      </c>
      <c r="V65" s="257">
        <f t="shared" si="47"/>
        <v>139</v>
      </c>
      <c r="W65" s="25"/>
      <c r="X65" s="25"/>
      <c r="Y65" s="25"/>
      <c r="Z65" s="25"/>
      <c r="AA65" s="575"/>
      <c r="AB65" s="575"/>
      <c r="AC65" s="50"/>
      <c r="AD65" s="27"/>
      <c r="AE65" s="20">
        <f t="shared" si="43"/>
        <v>-112.23021582733827</v>
      </c>
      <c r="AF65" s="252">
        <f t="shared" si="9"/>
        <v>0.9532374100719424</v>
      </c>
      <c r="AG65" s="573"/>
    </row>
    <row r="66" spans="1:33" ht="15.75" customHeight="1">
      <c r="A66" s="578" t="s">
        <v>1438</v>
      </c>
      <c r="B66" s="258" t="s">
        <v>94</v>
      </c>
      <c r="C66" s="574" t="s">
        <v>99</v>
      </c>
      <c r="D66" s="574"/>
      <c r="E66" s="39">
        <v>20.36</v>
      </c>
      <c r="F66" s="258">
        <v>3600</v>
      </c>
      <c r="G66" s="251">
        <f t="shared" si="45"/>
        <v>73296</v>
      </c>
      <c r="H66" s="48">
        <v>2</v>
      </c>
      <c r="I66" s="256">
        <v>17</v>
      </c>
      <c r="J66" s="43">
        <v>2400</v>
      </c>
      <c r="K66" s="18">
        <f t="shared" si="1"/>
        <v>141.1764705882353</v>
      </c>
      <c r="L66" s="256">
        <v>17</v>
      </c>
      <c r="M66" s="19">
        <f t="shared" si="46"/>
        <v>2297.872340425532</v>
      </c>
      <c r="N66" s="18">
        <f t="shared" si="3"/>
        <v>135.16896120150187</v>
      </c>
      <c r="O66" s="20">
        <f t="shared" si="4"/>
        <v>0</v>
      </c>
      <c r="P66" s="21">
        <f t="shared" si="5"/>
        <v>-6.0075093867334317</v>
      </c>
      <c r="Q66" s="252">
        <f t="shared" si="6"/>
        <v>0.95744680851063824</v>
      </c>
      <c r="R66" s="573"/>
      <c r="S66" s="49">
        <v>0.3208333333333333</v>
      </c>
      <c r="T66" s="49">
        <v>0.38611111111111107</v>
      </c>
      <c r="U66" s="251">
        <f t="shared" si="48"/>
        <v>6.9999999999999751</v>
      </c>
      <c r="V66" s="257">
        <f t="shared" si="47"/>
        <v>93.999999999999986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-102.127659574468</v>
      </c>
      <c r="AF66" s="252">
        <f t="shared" si="9"/>
        <v>0.95744680851063835</v>
      </c>
      <c r="AG66" s="573"/>
    </row>
    <row r="67" spans="1:33" ht="15.75" customHeight="1">
      <c r="A67" s="578" t="s">
        <v>1439</v>
      </c>
      <c r="B67" s="258" t="s">
        <v>94</v>
      </c>
      <c r="C67" s="574" t="s">
        <v>1231</v>
      </c>
      <c r="D67" s="574"/>
      <c r="E67" s="39">
        <v>25.99</v>
      </c>
      <c r="F67" s="258">
        <v>4600</v>
      </c>
      <c r="G67" s="251">
        <f t="shared" si="45"/>
        <v>119554</v>
      </c>
      <c r="H67" s="48">
        <v>2</v>
      </c>
      <c r="I67" s="256">
        <v>19</v>
      </c>
      <c r="J67" s="43">
        <v>2400</v>
      </c>
      <c r="K67" s="18">
        <f t="shared" si="1"/>
        <v>126.31578947368421</v>
      </c>
      <c r="L67" s="256">
        <v>19</v>
      </c>
      <c r="M67" s="19">
        <f t="shared" si="46"/>
        <v>2280.9917355371908</v>
      </c>
      <c r="N67" s="18">
        <f t="shared" si="3"/>
        <v>120.05219660722057</v>
      </c>
      <c r="O67" s="20">
        <f t="shared" si="4"/>
        <v>0</v>
      </c>
      <c r="P67" s="21">
        <f t="shared" si="5"/>
        <v>-6.2635928664636396</v>
      </c>
      <c r="Q67" s="252">
        <f t="shared" si="6"/>
        <v>0.95041322314049614</v>
      </c>
      <c r="R67" s="573"/>
      <c r="S67" s="49">
        <v>0.39097222222222217</v>
      </c>
      <c r="T67" s="49">
        <v>0.47499999999999992</v>
      </c>
      <c r="U67" s="251">
        <f t="shared" si="48"/>
        <v>6.9999999999999751</v>
      </c>
      <c r="V67" s="257">
        <f t="shared" si="47"/>
        <v>120.99999999999997</v>
      </c>
      <c r="W67" s="25">
        <f>T67</f>
        <v>0.47499999999999992</v>
      </c>
      <c r="X67" s="25">
        <f>S68</f>
        <v>0.51527777777777772</v>
      </c>
      <c r="Y67" s="25"/>
      <c r="Z67" s="25"/>
      <c r="AA67" s="575"/>
      <c r="AB67" s="575"/>
      <c r="AC67" s="50"/>
      <c r="AD67" s="27"/>
      <c r="AE67" s="20">
        <f t="shared" si="43"/>
        <v>-119.00826446280917</v>
      </c>
      <c r="AF67" s="252">
        <f t="shared" si="9"/>
        <v>0.95041322314049614</v>
      </c>
      <c r="AG67" s="573"/>
    </row>
    <row r="68" spans="1:33" ht="15.75" customHeight="1">
      <c r="A68" s="578" t="s">
        <v>1440</v>
      </c>
      <c r="B68" s="258" t="s">
        <v>94</v>
      </c>
      <c r="C68" s="574" t="s">
        <v>1231</v>
      </c>
      <c r="D68" s="574"/>
      <c r="E68" s="39">
        <v>25.99</v>
      </c>
      <c r="F68" s="258">
        <v>3393</v>
      </c>
      <c r="G68" s="251">
        <f t="shared" si="45"/>
        <v>88184.069999999992</v>
      </c>
      <c r="H68" s="48" t="s">
        <v>126</v>
      </c>
      <c r="I68" s="256">
        <v>19</v>
      </c>
      <c r="J68" s="43">
        <v>2400</v>
      </c>
      <c r="K68" s="18">
        <f t="shared" si="1"/>
        <v>126.31578947368421</v>
      </c>
      <c r="L68" s="256">
        <v>19</v>
      </c>
      <c r="M68" s="19">
        <f t="shared" si="46"/>
        <v>2287.4157303370785</v>
      </c>
      <c r="N68" s="18">
        <f t="shared" si="3"/>
        <v>120.39030159668835</v>
      </c>
      <c r="O68" s="20">
        <f t="shared" si="4"/>
        <v>0</v>
      </c>
      <c r="P68" s="21">
        <f t="shared" si="5"/>
        <v>-5.9254878769958594</v>
      </c>
      <c r="Q68" s="252">
        <f t="shared" si="6"/>
        <v>0.95308988764044944</v>
      </c>
      <c r="R68" s="573"/>
      <c r="S68" s="49">
        <v>0.51527777777777772</v>
      </c>
      <c r="T68" s="49">
        <v>0.57708333333333328</v>
      </c>
      <c r="U68" s="251">
        <f t="shared" si="48"/>
        <v>58.000000000000036</v>
      </c>
      <c r="V68" s="257">
        <f t="shared" si="47"/>
        <v>89</v>
      </c>
      <c r="W68" s="25"/>
      <c r="X68" s="25"/>
      <c r="Y68" s="25"/>
      <c r="Z68" s="25"/>
      <c r="AA68" s="575"/>
      <c r="AB68" s="575"/>
      <c r="AC68" s="50"/>
      <c r="AD68" s="27"/>
      <c r="AE68" s="20">
        <f t="shared" si="43"/>
        <v>-112.58426966292154</v>
      </c>
      <c r="AF68" s="252">
        <f t="shared" si="9"/>
        <v>0.95308988764044933</v>
      </c>
      <c r="AG68" s="573"/>
    </row>
    <row r="69" spans="1:33" ht="15.75" customHeight="1">
      <c r="A69" s="578" t="s">
        <v>1441</v>
      </c>
      <c r="B69" s="258" t="s">
        <v>94</v>
      </c>
      <c r="C69" s="566" t="s">
        <v>125</v>
      </c>
      <c r="D69" s="567"/>
      <c r="E69" s="39">
        <v>19.02</v>
      </c>
      <c r="F69" s="258">
        <v>4099</v>
      </c>
      <c r="G69" s="251">
        <f t="shared" si="45"/>
        <v>77962.98</v>
      </c>
      <c r="H69" s="48" t="s">
        <v>126</v>
      </c>
      <c r="I69" s="256">
        <v>14</v>
      </c>
      <c r="J69" s="43">
        <v>2400</v>
      </c>
      <c r="K69" s="18">
        <f t="shared" ref="K69:K72" si="49">J69/I69</f>
        <v>171.42857142857142</v>
      </c>
      <c r="L69" s="256">
        <v>14</v>
      </c>
      <c r="M69" s="19">
        <f t="shared" si="46"/>
        <v>2298.5046728971975</v>
      </c>
      <c r="N69" s="18">
        <f t="shared" ref="N69:N72" si="50">M69/L69</f>
        <v>164.17890520694269</v>
      </c>
      <c r="O69" s="20">
        <f t="shared" ref="O69:O72" si="51">L69-I69</f>
        <v>0</v>
      </c>
      <c r="P69" s="21">
        <f t="shared" ref="P69:P72" si="52">N69-K69</f>
        <v>-7.2496662216287291</v>
      </c>
      <c r="Q69" s="252">
        <f t="shared" ref="Q69:Q72" si="53">N69/K69</f>
        <v>0.95771028037383243</v>
      </c>
      <c r="R69" s="573"/>
      <c r="S69" s="49">
        <v>0.58124999999999993</v>
      </c>
      <c r="T69" s="49">
        <v>0.65555555555555545</v>
      </c>
      <c r="U69" s="251">
        <f t="shared" si="48"/>
        <v>5.9999999999999787</v>
      </c>
      <c r="V69" s="257">
        <f t="shared" si="47"/>
        <v>106.99999999999994</v>
      </c>
      <c r="W69" s="25"/>
      <c r="X69" s="25"/>
      <c r="Y69" s="28"/>
      <c r="Z69" s="28"/>
      <c r="AA69" s="568"/>
      <c r="AB69" s="569"/>
      <c r="AC69" s="50"/>
      <c r="AD69" s="27"/>
      <c r="AE69" s="20">
        <f t="shared" si="43"/>
        <v>-101.49532710280255</v>
      </c>
      <c r="AF69" s="252">
        <f t="shared" ref="AF69:AF72" si="54">M69/J69</f>
        <v>0.95771028037383232</v>
      </c>
      <c r="AG69" s="573"/>
    </row>
    <row r="70" spans="1:33" ht="15.75" customHeight="1">
      <c r="A70" s="578" t="s">
        <v>1442</v>
      </c>
      <c r="B70" s="258" t="s">
        <v>94</v>
      </c>
      <c r="C70" s="566" t="s">
        <v>99</v>
      </c>
      <c r="D70" s="567"/>
      <c r="E70" s="39">
        <v>20.36</v>
      </c>
      <c r="F70" s="258">
        <v>2632</v>
      </c>
      <c r="G70" s="251">
        <f t="shared" si="45"/>
        <v>53587.519999999997</v>
      </c>
      <c r="H70" s="48" t="s">
        <v>126</v>
      </c>
      <c r="I70" s="256">
        <v>17</v>
      </c>
      <c r="J70" s="43">
        <v>2400</v>
      </c>
      <c r="K70" s="18">
        <f t="shared" si="49"/>
        <v>141.1764705882353</v>
      </c>
      <c r="L70" s="256">
        <v>17</v>
      </c>
      <c r="M70" s="19">
        <f t="shared" si="46"/>
        <v>2288.6956521739107</v>
      </c>
      <c r="N70" s="18">
        <f t="shared" si="50"/>
        <v>134.62915601023005</v>
      </c>
      <c r="O70" s="20">
        <f t="shared" si="51"/>
        <v>0</v>
      </c>
      <c r="P70" s="21">
        <f t="shared" si="52"/>
        <v>-6.5473145780052562</v>
      </c>
      <c r="Q70" s="252">
        <f t="shared" si="53"/>
        <v>0.95362318840579607</v>
      </c>
      <c r="R70" s="573"/>
      <c r="S70" s="49">
        <v>0.65902777777777766</v>
      </c>
      <c r="T70" s="49">
        <v>0.70694444444444438</v>
      </c>
      <c r="U70" s="251">
        <f t="shared" si="48"/>
        <v>4.9999999999999822</v>
      </c>
      <c r="V70" s="257">
        <f t="shared" si="47"/>
        <v>69.000000000000071</v>
      </c>
      <c r="W70" s="25"/>
      <c r="X70" s="25"/>
      <c r="Y70" s="28"/>
      <c r="Z70" s="28"/>
      <c r="AA70" s="568"/>
      <c r="AB70" s="569"/>
      <c r="AC70" s="50"/>
      <c r="AD70" s="27"/>
      <c r="AE70" s="20">
        <f t="shared" si="43"/>
        <v>-111.30434782608927</v>
      </c>
      <c r="AF70" s="252">
        <f t="shared" si="54"/>
        <v>0.95362318840579618</v>
      </c>
      <c r="AG70" s="573"/>
    </row>
    <row r="71" spans="1:33" ht="15.75" customHeight="1">
      <c r="A71" s="578" t="s">
        <v>1436</v>
      </c>
      <c r="B71" s="258" t="s">
        <v>94</v>
      </c>
      <c r="C71" s="566" t="s">
        <v>124</v>
      </c>
      <c r="D71" s="567"/>
      <c r="E71" s="39">
        <v>22.69</v>
      </c>
      <c r="F71" s="258">
        <v>1921</v>
      </c>
      <c r="G71" s="251">
        <f t="shared" si="45"/>
        <v>43587.490000000005</v>
      </c>
      <c r="H71" s="48" t="s">
        <v>126</v>
      </c>
      <c r="I71" s="256">
        <v>15</v>
      </c>
      <c r="J71" s="43">
        <v>2400</v>
      </c>
      <c r="K71" s="18">
        <f t="shared" si="49"/>
        <v>160</v>
      </c>
      <c r="L71" s="256">
        <v>15</v>
      </c>
      <c r="M71" s="19">
        <f t="shared" si="46"/>
        <v>2305.2000000000007</v>
      </c>
      <c r="N71" s="18">
        <f t="shared" si="50"/>
        <v>153.68000000000004</v>
      </c>
      <c r="O71" s="20">
        <f t="shared" si="51"/>
        <v>0</v>
      </c>
      <c r="P71" s="21">
        <f t="shared" si="52"/>
        <v>-6.3199999999999648</v>
      </c>
      <c r="Q71" s="252">
        <f t="shared" si="53"/>
        <v>0.96050000000000024</v>
      </c>
      <c r="R71" s="573"/>
      <c r="S71" s="49">
        <v>0.71249999999999991</v>
      </c>
      <c r="T71" s="49">
        <v>0.74722222222222212</v>
      </c>
      <c r="U71" s="251">
        <f t="shared" si="48"/>
        <v>7.9999999999999716</v>
      </c>
      <c r="V71" s="257">
        <f t="shared" si="47"/>
        <v>49.999999999999986</v>
      </c>
      <c r="W71" s="25"/>
      <c r="X71" s="25"/>
      <c r="Y71" s="28"/>
      <c r="Z71" s="28"/>
      <c r="AA71" s="568"/>
      <c r="AB71" s="569"/>
      <c r="AC71" s="50"/>
      <c r="AD71" s="27"/>
      <c r="AE71" s="20">
        <f t="shared" si="43"/>
        <v>-94.799999999999272</v>
      </c>
      <c r="AF71" s="252">
        <f t="shared" si="54"/>
        <v>0.96050000000000035</v>
      </c>
      <c r="AG71" s="573"/>
    </row>
    <row r="72" spans="1:33" ht="16.5" customHeight="1">
      <c r="A72" s="579" t="s">
        <v>1443</v>
      </c>
      <c r="B72" s="39" t="s">
        <v>1444</v>
      </c>
      <c r="C72" s="570"/>
      <c r="D72" s="571"/>
      <c r="E72" s="253"/>
      <c r="F72" s="42"/>
      <c r="G72" s="18"/>
      <c r="H72" s="258"/>
      <c r="I72" s="32">
        <v>16.111111111111111</v>
      </c>
      <c r="J72" s="43">
        <v>2400</v>
      </c>
      <c r="K72" s="18">
        <f t="shared" si="49"/>
        <v>148.9655172413793</v>
      </c>
      <c r="L72" s="32">
        <v>16.111111111111111</v>
      </c>
      <c r="M72" s="19">
        <f>AVERAGE(M63:M71)</f>
        <v>2291.0457746496804</v>
      </c>
      <c r="N72" s="18">
        <f t="shared" si="50"/>
        <v>142.20284118515258</v>
      </c>
      <c r="O72" s="20">
        <f t="shared" si="51"/>
        <v>0</v>
      </c>
      <c r="P72" s="21">
        <f t="shared" si="52"/>
        <v>-6.7626760562267236</v>
      </c>
      <c r="Q72" s="252">
        <f t="shared" si="53"/>
        <v>0.95460240610403357</v>
      </c>
      <c r="R72" s="573"/>
      <c r="S72" s="49"/>
      <c r="T72" s="49"/>
      <c r="U72" s="18"/>
      <c r="V72" s="257"/>
      <c r="W72" s="18"/>
      <c r="X72" s="18"/>
      <c r="Y72" s="33">
        <f>SUM(Y63:Y71)</f>
        <v>0</v>
      </c>
      <c r="Z72" s="33">
        <f>SUM(Z63:Z71)</f>
        <v>0</v>
      </c>
      <c r="AA72" s="572"/>
      <c r="AB72" s="572"/>
      <c r="AC72" s="33">
        <v>9</v>
      </c>
      <c r="AD72" s="33">
        <f>SUM(AD63:AD71)</f>
        <v>0</v>
      </c>
      <c r="AE72" s="20">
        <f t="shared" si="43"/>
        <v>-108.95422535031958</v>
      </c>
      <c r="AF72" s="252">
        <f t="shared" si="54"/>
        <v>0.95460240610403346</v>
      </c>
      <c r="AG72" s="573"/>
    </row>
    <row r="73" spans="1:33">
      <c r="D73" s="35"/>
      <c r="E73" s="35"/>
    </row>
  </sheetData>
  <mergeCells count="193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17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A18:A24"/>
    <mergeCell ref="C18:D18"/>
    <mergeCell ref="R18:R24"/>
    <mergeCell ref="AA18:AB18"/>
    <mergeCell ref="AA23:AB23"/>
    <mergeCell ref="C24:D24"/>
    <mergeCell ref="AA24:AB24"/>
    <mergeCell ref="A13:A17"/>
    <mergeCell ref="C13:D13"/>
    <mergeCell ref="R13:R17"/>
    <mergeCell ref="AA13:AB13"/>
    <mergeCell ref="AG25:AG33"/>
    <mergeCell ref="C26:D26"/>
    <mergeCell ref="AA26:AB26"/>
    <mergeCell ref="C27:D27"/>
    <mergeCell ref="AA27:AB27"/>
    <mergeCell ref="C28:D28"/>
    <mergeCell ref="AG18:AG24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8:AB28"/>
    <mergeCell ref="C29:D29"/>
    <mergeCell ref="AA29:AB29"/>
    <mergeCell ref="C30:D30"/>
    <mergeCell ref="AA30:AB30"/>
    <mergeCell ref="C31:D31"/>
    <mergeCell ref="AA31:AB31"/>
    <mergeCell ref="A25:A33"/>
    <mergeCell ref="C25:D25"/>
    <mergeCell ref="R25:R33"/>
    <mergeCell ref="AA25:AB25"/>
    <mergeCell ref="C33:D33"/>
    <mergeCell ref="AA33:AB33"/>
    <mergeCell ref="A34:A40"/>
    <mergeCell ref="C34:D34"/>
    <mergeCell ref="R34:R40"/>
    <mergeCell ref="AA34:AB34"/>
    <mergeCell ref="AA39:AB39"/>
    <mergeCell ref="C40:D40"/>
    <mergeCell ref="AA40:AB40"/>
    <mergeCell ref="AG41:AG45"/>
    <mergeCell ref="C42:D42"/>
    <mergeCell ref="AA42:AB42"/>
    <mergeCell ref="C43:D43"/>
    <mergeCell ref="AA43:AB43"/>
    <mergeCell ref="C44:D44"/>
    <mergeCell ref="AG34:AG40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4:AB44"/>
    <mergeCell ref="C45:D45"/>
    <mergeCell ref="AA45:AB45"/>
    <mergeCell ref="A46:A55"/>
    <mergeCell ref="C46:D46"/>
    <mergeCell ref="R46:R55"/>
    <mergeCell ref="AA46:AB46"/>
    <mergeCell ref="AA52:AB52"/>
    <mergeCell ref="C53:D53"/>
    <mergeCell ref="AA53:AB53"/>
    <mergeCell ref="A41:A45"/>
    <mergeCell ref="C41:D41"/>
    <mergeCell ref="R41:R45"/>
    <mergeCell ref="AA41:AB41"/>
    <mergeCell ref="AG46:AG55"/>
    <mergeCell ref="C47:D47"/>
    <mergeCell ref="AA47:AB47"/>
    <mergeCell ref="C48:D48"/>
    <mergeCell ref="AA48:AB48"/>
    <mergeCell ref="AA49:AB49"/>
    <mergeCell ref="AA50:AB50"/>
    <mergeCell ref="C51:D51"/>
    <mergeCell ref="AA51:AB51"/>
    <mergeCell ref="C52:D52"/>
    <mergeCell ref="C55:D55"/>
    <mergeCell ref="AA55:AB55"/>
    <mergeCell ref="A56:A62"/>
    <mergeCell ref="C56:D56"/>
    <mergeCell ref="R56:R62"/>
    <mergeCell ref="AA56:AB56"/>
    <mergeCell ref="AA61:AB61"/>
    <mergeCell ref="C62:D62"/>
    <mergeCell ref="AA62:AB62"/>
    <mergeCell ref="AG56:AG62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63:A72"/>
    <mergeCell ref="C63:D63"/>
    <mergeCell ref="R63:R72"/>
    <mergeCell ref="AA63:AB63"/>
    <mergeCell ref="AG63:AG72"/>
    <mergeCell ref="C64:D64"/>
    <mergeCell ref="AA64:AB64"/>
    <mergeCell ref="C65:D65"/>
    <mergeCell ref="AA65:AB65"/>
    <mergeCell ref="C66:D66"/>
    <mergeCell ref="C70:D70"/>
    <mergeCell ref="AA70:AB70"/>
    <mergeCell ref="C71:D71"/>
    <mergeCell ref="AA71:AB71"/>
    <mergeCell ref="C72:D72"/>
    <mergeCell ref="AA72:AB72"/>
    <mergeCell ref="AA66:AB66"/>
    <mergeCell ref="C67:D67"/>
    <mergeCell ref="AA67:AB67"/>
    <mergeCell ref="C68:D68"/>
    <mergeCell ref="AA68:AB68"/>
    <mergeCell ref="C69:D69"/>
    <mergeCell ref="AA69:AB69"/>
  </mergeCells>
  <phoneticPr fontId="3" type="noConversion"/>
  <conditionalFormatting sqref="O59:O68 O55:O56 O72 O5:O9 O17:O51 O12:O14">
    <cfRule type="cellIs" dxfId="775" priority="61" operator="greaterThan">
      <formula>0</formula>
    </cfRule>
  </conditionalFormatting>
  <conditionalFormatting sqref="P5:P7 P59:P61 AE59:AE61 P63:P68 P25:P32 P56 P9 P18:P23 P46:P51 P34:P44 AE63:AE72 P12:P14 AE5:AE56">
    <cfRule type="cellIs" dxfId="774" priority="65" operator="lessThan">
      <formula>0</formula>
    </cfRule>
  </conditionalFormatting>
  <conditionalFormatting sqref="AF59:AF61 Q59:Q68 Q55:Q56 Q72 Q5:Q9 Q17:Q51 AF63:AF72 Q12:Q14 AF5:AF56">
    <cfRule type="cellIs" dxfId="773" priority="62" operator="greaterThan">
      <formula>1</formula>
    </cfRule>
    <cfRule type="cellIs" dxfId="772" priority="63" operator="lessThan">
      <formula>0.8</formula>
    </cfRule>
  </conditionalFormatting>
  <conditionalFormatting sqref="AG13:AG14 R13:R14 AG59 R59:R68 AG55:AG56 R55:R56 R72 AG5:AG9 R5:R9 R17:R51 AG17:AG51">
    <cfRule type="cellIs" dxfId="771" priority="67" operator="lessThan">
      <formula>0.8</formula>
    </cfRule>
  </conditionalFormatting>
  <conditionalFormatting sqref="AG41">
    <cfRule type="cellIs" dxfId="770" priority="69" operator="lessThan">
      <formula>0.8</formula>
    </cfRule>
  </conditionalFormatting>
  <conditionalFormatting sqref="AG18:AG23">
    <cfRule type="cellIs" dxfId="769" priority="66" operator="lessThan">
      <formula>0.8</formula>
    </cfRule>
  </conditionalFormatting>
  <conditionalFormatting sqref="AG25">
    <cfRule type="cellIs" dxfId="768" priority="68" operator="lessThan">
      <formula>0.8</formula>
    </cfRule>
  </conditionalFormatting>
  <conditionalFormatting sqref="AG34:AG39">
    <cfRule type="cellIs" dxfId="767" priority="64" operator="lessThan">
      <formula>0.8</formula>
    </cfRule>
  </conditionalFormatting>
  <conditionalFormatting sqref="AE62">
    <cfRule type="cellIs" dxfId="766" priority="60" operator="lessThan">
      <formula>0</formula>
    </cfRule>
  </conditionalFormatting>
  <conditionalFormatting sqref="AF62">
    <cfRule type="cellIs" dxfId="765" priority="58" operator="greaterThan">
      <formula>1</formula>
    </cfRule>
    <cfRule type="cellIs" dxfId="764" priority="59" operator="lessThan">
      <formula>0.8</formula>
    </cfRule>
  </conditionalFormatting>
  <conditionalFormatting sqref="O15:O16">
    <cfRule type="cellIs" dxfId="763" priority="53" operator="greaterThan">
      <formula>0</formula>
    </cfRule>
  </conditionalFormatting>
  <conditionalFormatting sqref="P15:P16">
    <cfRule type="cellIs" dxfId="762" priority="56" operator="lessThan">
      <formula>0</formula>
    </cfRule>
  </conditionalFormatting>
  <conditionalFormatting sqref="Q15:Q16">
    <cfRule type="cellIs" dxfId="761" priority="54" operator="greaterThan">
      <formula>1</formula>
    </cfRule>
    <cfRule type="cellIs" dxfId="760" priority="55" operator="lessThan">
      <formula>0.8</formula>
    </cfRule>
  </conditionalFormatting>
  <conditionalFormatting sqref="R15:R16 AG15:AG16">
    <cfRule type="cellIs" dxfId="759" priority="57" operator="lessThan">
      <formula>0.8</formula>
    </cfRule>
  </conditionalFormatting>
  <conditionalFormatting sqref="O10:O11">
    <cfRule type="cellIs" dxfId="758" priority="49" operator="greaterThan">
      <formula>0</formula>
    </cfRule>
  </conditionalFormatting>
  <conditionalFormatting sqref="P10:P11">
    <cfRule type="cellIs" dxfId="757" priority="52" operator="lessThan">
      <formula>0</formula>
    </cfRule>
  </conditionalFormatting>
  <conditionalFormatting sqref="Q10:Q11">
    <cfRule type="cellIs" dxfId="756" priority="50" operator="greaterThan">
      <formula>1</formula>
    </cfRule>
    <cfRule type="cellIs" dxfId="755" priority="51" operator="lessThan">
      <formula>0.8</formula>
    </cfRule>
  </conditionalFormatting>
  <conditionalFormatting sqref="O52">
    <cfRule type="cellIs" dxfId="754" priority="44" operator="greaterThan">
      <formula>0</formula>
    </cfRule>
  </conditionalFormatting>
  <conditionalFormatting sqref="P52">
    <cfRule type="cellIs" dxfId="753" priority="47" operator="lessThan">
      <formula>0</formula>
    </cfRule>
  </conditionalFormatting>
  <conditionalFormatting sqref="Q52">
    <cfRule type="cellIs" dxfId="752" priority="45" operator="greaterThan">
      <formula>1</formula>
    </cfRule>
    <cfRule type="cellIs" dxfId="751" priority="46" operator="lessThan">
      <formula>0.8</formula>
    </cfRule>
  </conditionalFormatting>
  <conditionalFormatting sqref="R52 AG52">
    <cfRule type="cellIs" dxfId="750" priority="48" operator="lessThan">
      <formula>0.8</formula>
    </cfRule>
  </conditionalFormatting>
  <conditionalFormatting sqref="O58">
    <cfRule type="cellIs" dxfId="749" priority="39" operator="greaterThan">
      <formula>0</formula>
    </cfRule>
  </conditionalFormatting>
  <conditionalFormatting sqref="P58 AE58">
    <cfRule type="cellIs" dxfId="748" priority="42" operator="lessThan">
      <formula>0</formula>
    </cfRule>
  </conditionalFormatting>
  <conditionalFormatting sqref="Q58 AF58">
    <cfRule type="cellIs" dxfId="747" priority="40" operator="greaterThan">
      <formula>1</formula>
    </cfRule>
    <cfRule type="cellIs" dxfId="746" priority="41" operator="lessThan">
      <formula>0.8</formula>
    </cfRule>
  </conditionalFormatting>
  <conditionalFormatting sqref="R58 AG58">
    <cfRule type="cellIs" dxfId="745" priority="43" operator="lessThan">
      <formula>0.8</formula>
    </cfRule>
  </conditionalFormatting>
  <conditionalFormatting sqref="O69">
    <cfRule type="cellIs" dxfId="744" priority="34" operator="greaterThan">
      <formula>0</formula>
    </cfRule>
  </conditionalFormatting>
  <conditionalFormatting sqref="P69">
    <cfRule type="cellIs" dxfId="743" priority="37" operator="lessThan">
      <formula>0</formula>
    </cfRule>
  </conditionalFormatting>
  <conditionalFormatting sqref="Q69">
    <cfRule type="cellIs" dxfId="742" priority="35" operator="greaterThan">
      <formula>1</formula>
    </cfRule>
    <cfRule type="cellIs" dxfId="741" priority="36" operator="lessThan">
      <formula>0.8</formula>
    </cfRule>
  </conditionalFormatting>
  <conditionalFormatting sqref="R69">
    <cfRule type="cellIs" dxfId="740" priority="38" operator="lessThan">
      <formula>0.8</formula>
    </cfRule>
  </conditionalFormatting>
  <conditionalFormatting sqref="O53">
    <cfRule type="cellIs" dxfId="739" priority="29" operator="greaterThan">
      <formula>0</formula>
    </cfRule>
  </conditionalFormatting>
  <conditionalFormatting sqref="P53">
    <cfRule type="cellIs" dxfId="738" priority="32" operator="lessThan">
      <formula>0</formula>
    </cfRule>
  </conditionalFormatting>
  <conditionalFormatting sqref="Q53">
    <cfRule type="cellIs" dxfId="737" priority="30" operator="greaterThan">
      <formula>1</formula>
    </cfRule>
    <cfRule type="cellIs" dxfId="736" priority="31" operator="lessThan">
      <formula>0.8</formula>
    </cfRule>
  </conditionalFormatting>
  <conditionalFormatting sqref="AG53 R53">
    <cfRule type="cellIs" dxfId="735" priority="33" operator="lessThan">
      <formula>0.8</formula>
    </cfRule>
  </conditionalFormatting>
  <conditionalFormatting sqref="O57">
    <cfRule type="cellIs" dxfId="734" priority="24" operator="greaterThan">
      <formula>0</formula>
    </cfRule>
  </conditionalFormatting>
  <conditionalFormatting sqref="P57 AE57">
    <cfRule type="cellIs" dxfId="733" priority="27" operator="lessThan">
      <formula>0</formula>
    </cfRule>
  </conditionalFormatting>
  <conditionalFormatting sqref="Q57 AF57">
    <cfRule type="cellIs" dxfId="732" priority="25" operator="greaterThan">
      <formula>1</formula>
    </cfRule>
    <cfRule type="cellIs" dxfId="731" priority="26" operator="lessThan">
      <formula>0.8</formula>
    </cfRule>
  </conditionalFormatting>
  <conditionalFormatting sqref="R57 AG57">
    <cfRule type="cellIs" dxfId="730" priority="28" operator="lessThan">
      <formula>0.8</formula>
    </cfRule>
  </conditionalFormatting>
  <conditionalFormatting sqref="P8">
    <cfRule type="cellIs" dxfId="729" priority="23" operator="lessThan">
      <formula>0</formula>
    </cfRule>
  </conditionalFormatting>
  <conditionalFormatting sqref="P17">
    <cfRule type="cellIs" dxfId="728" priority="22" operator="lessThan">
      <formula>0</formula>
    </cfRule>
  </conditionalFormatting>
  <conditionalFormatting sqref="P24">
    <cfRule type="cellIs" dxfId="727" priority="21" operator="lessThan">
      <formula>0</formula>
    </cfRule>
  </conditionalFormatting>
  <conditionalFormatting sqref="P33">
    <cfRule type="cellIs" dxfId="726" priority="20" operator="lessThan">
      <formula>0</formula>
    </cfRule>
  </conditionalFormatting>
  <conditionalFormatting sqref="P45">
    <cfRule type="cellIs" dxfId="725" priority="19" operator="lessThan">
      <formula>0</formula>
    </cfRule>
  </conditionalFormatting>
  <conditionalFormatting sqref="P55">
    <cfRule type="cellIs" dxfId="724" priority="18" operator="lessThan">
      <formula>0</formula>
    </cfRule>
  </conditionalFormatting>
  <conditionalFormatting sqref="P62">
    <cfRule type="cellIs" dxfId="723" priority="17" operator="lessThan">
      <formula>0</formula>
    </cfRule>
  </conditionalFormatting>
  <conditionalFormatting sqref="P72">
    <cfRule type="cellIs" dxfId="722" priority="16" operator="lessThan">
      <formula>0</formula>
    </cfRule>
  </conditionalFormatting>
  <conditionalFormatting sqref="O70">
    <cfRule type="cellIs" dxfId="721" priority="11" operator="greaterThan">
      <formula>0</formula>
    </cfRule>
  </conditionalFormatting>
  <conditionalFormatting sqref="P70">
    <cfRule type="cellIs" dxfId="720" priority="14" operator="lessThan">
      <formula>0</formula>
    </cfRule>
  </conditionalFormatting>
  <conditionalFormatting sqref="Q70">
    <cfRule type="cellIs" dxfId="719" priority="12" operator="greaterThan">
      <formula>1</formula>
    </cfRule>
    <cfRule type="cellIs" dxfId="718" priority="13" operator="lessThan">
      <formula>0.8</formula>
    </cfRule>
  </conditionalFormatting>
  <conditionalFormatting sqref="R70">
    <cfRule type="cellIs" dxfId="717" priority="15" operator="lessThan">
      <formula>0.8</formula>
    </cfRule>
  </conditionalFormatting>
  <conditionalFormatting sqref="O71">
    <cfRule type="cellIs" dxfId="716" priority="6" operator="greaterThan">
      <formula>0</formula>
    </cfRule>
  </conditionalFormatting>
  <conditionalFormatting sqref="P71">
    <cfRule type="cellIs" dxfId="715" priority="9" operator="lessThan">
      <formula>0</formula>
    </cfRule>
  </conditionalFormatting>
  <conditionalFormatting sqref="Q71">
    <cfRule type="cellIs" dxfId="714" priority="7" operator="greaterThan">
      <formula>1</formula>
    </cfRule>
    <cfRule type="cellIs" dxfId="713" priority="8" operator="lessThan">
      <formula>0.8</formula>
    </cfRule>
  </conditionalFormatting>
  <conditionalFormatting sqref="R71">
    <cfRule type="cellIs" dxfId="712" priority="10" operator="lessThan">
      <formula>0.8</formula>
    </cfRule>
  </conditionalFormatting>
  <conditionalFormatting sqref="O54">
    <cfRule type="cellIs" dxfId="711" priority="1" operator="greaterThan">
      <formula>0</formula>
    </cfRule>
  </conditionalFormatting>
  <conditionalFormatting sqref="P54">
    <cfRule type="cellIs" dxfId="710" priority="4" operator="lessThan">
      <formula>0</formula>
    </cfRule>
  </conditionalFormatting>
  <conditionalFormatting sqref="Q54">
    <cfRule type="cellIs" dxfId="709" priority="2" operator="greaterThan">
      <formula>1</formula>
    </cfRule>
    <cfRule type="cellIs" dxfId="708" priority="3" operator="lessThan">
      <formula>0.8</formula>
    </cfRule>
  </conditionalFormatting>
  <conditionalFormatting sqref="AG54 R54">
    <cfRule type="cellIs" dxfId="707" priority="5" operator="lessThan">
      <formula>0.8</formula>
    </cfRule>
  </conditionalFormatting>
  <dataValidations count="1">
    <dataValidation type="list" allowBlank="1" showInputMessage="1" showErrorMessage="1" sqref="AB8 AA5:AB7 AB60:AB61 AA62:AB72 AB10:AB56 AA8:AA6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B11" sqref="B11:C12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1236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1237</v>
      </c>
      <c r="C3" s="555" t="str">
        <f>TEXT('0512 4度C'!A2,"yyyy.mm.ddaaaa")</f>
        <v>2026.05.12星期二</v>
      </c>
      <c r="D3" s="556"/>
      <c r="E3" s="54" t="s">
        <v>1238</v>
      </c>
      <c r="F3" s="557">
        <f>'0512 4度C'!D1</f>
        <v>194983</v>
      </c>
      <c r="G3" s="558"/>
      <c r="H3" s="54" t="s">
        <v>1239</v>
      </c>
      <c r="I3" s="559">
        <f>'0512 4度C'!F1</f>
        <v>6698514.540000001</v>
      </c>
      <c r="J3" s="560"/>
      <c r="K3" s="55"/>
      <c r="L3" s="56"/>
      <c r="M3" s="57"/>
      <c r="N3" s="57"/>
    </row>
    <row r="4" spans="2:17" ht="28.5" customHeight="1">
      <c r="B4" s="561" t="s">
        <v>1240</v>
      </c>
      <c r="C4" s="547" t="s">
        <v>1241</v>
      </c>
      <c r="D4" s="548"/>
      <c r="E4" s="564" t="s">
        <v>1242</v>
      </c>
      <c r="F4" s="565"/>
      <c r="G4" s="564" t="s">
        <v>1243</v>
      </c>
      <c r="H4" s="565"/>
      <c r="I4" s="564" t="s">
        <v>1244</v>
      </c>
      <c r="J4" s="565"/>
      <c r="K4" s="545" t="s">
        <v>1245</v>
      </c>
      <c r="L4" s="546"/>
      <c r="M4" s="546" t="s">
        <v>1246</v>
      </c>
      <c r="N4" s="546"/>
    </row>
    <row r="5" spans="2:17" ht="28.5" customHeight="1">
      <c r="B5" s="562"/>
      <c r="C5" s="547" t="s">
        <v>1247</v>
      </c>
      <c r="D5" s="548"/>
      <c r="E5" s="547" t="s">
        <v>1248</v>
      </c>
      <c r="F5" s="548"/>
      <c r="G5" s="549" t="s">
        <v>1249</v>
      </c>
      <c r="H5" s="550"/>
      <c r="I5" s="551" t="s">
        <v>1250</v>
      </c>
      <c r="J5" s="552"/>
      <c r="K5" s="58" t="s">
        <v>1251</v>
      </c>
      <c r="L5" s="59" t="s">
        <v>1252</v>
      </c>
      <c r="M5" s="58" t="s">
        <v>1251</v>
      </c>
      <c r="N5" s="59" t="s">
        <v>1253</v>
      </c>
    </row>
    <row r="6" spans="2:17" ht="28.5" customHeight="1">
      <c r="B6" s="562"/>
      <c r="C6" s="547" t="s">
        <v>145</v>
      </c>
      <c r="D6" s="548"/>
      <c r="E6" s="539">
        <f>AVERAGE(D13:M13)</f>
        <v>152.80413068147612</v>
      </c>
      <c r="F6" s="540">
        <f>AVERAGE(D31:O31,D13:J13)</f>
        <v>158.67011283424478</v>
      </c>
      <c r="G6" s="541">
        <f>AVERAGE(D13:J13)</f>
        <v>158.67011283424478</v>
      </c>
      <c r="H6" s="542"/>
      <c r="I6" s="541">
        <f>AVERAGE(K13:M13)</f>
        <v>139.11683899168256</v>
      </c>
      <c r="J6" s="542"/>
      <c r="K6" s="543">
        <f>'0512 4度C'!Y2</f>
        <v>0</v>
      </c>
      <c r="L6" s="528">
        <f>'0512 4度C'!Z2</f>
        <v>0</v>
      </c>
      <c r="M6" s="544">
        <f>'0512 4度C'!AC2</f>
        <v>62</v>
      </c>
      <c r="N6" s="528">
        <f>'0512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146.19690021786732</v>
      </c>
      <c r="F7" s="532">
        <f>AVERAGE(D32:O32,D14:J14)</f>
        <v>151.90147398313997</v>
      </c>
      <c r="G7" s="533">
        <f>AVERAGE(D14:J14)</f>
        <v>151.90147398313997</v>
      </c>
      <c r="H7" s="534"/>
      <c r="I7" s="533">
        <f>AVERAGE(K14:M14)</f>
        <v>132.88622809889776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0.95650781700714982</v>
      </c>
      <c r="F8" s="536">
        <f>AVERAGE(D15:J15,D33:O33)</f>
        <v>0.95706717938442043</v>
      </c>
      <c r="G8" s="537">
        <f>AVERAGE(D15:J15)</f>
        <v>0.95706717938442043</v>
      </c>
      <c r="H8" s="538"/>
      <c r="I8" s="537">
        <f>AVERAGE(K15:M15)</f>
        <v>0.95520263812685202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1254</v>
      </c>
      <c r="N9" s="57"/>
      <c r="O9" s="57"/>
      <c r="P9" s="57"/>
      <c r="Q9" s="57"/>
    </row>
    <row r="10" spans="2:17" ht="30" customHeight="1">
      <c r="B10" s="511" t="s">
        <v>1255</v>
      </c>
      <c r="C10" s="512"/>
      <c r="D10" s="513" t="s">
        <v>1256</v>
      </c>
      <c r="E10" s="514"/>
      <c r="F10" s="514"/>
      <c r="G10" s="514"/>
      <c r="H10" s="514"/>
      <c r="I10" s="514"/>
      <c r="J10" s="515"/>
      <c r="K10" s="516" t="s">
        <v>1257</v>
      </c>
      <c r="L10" s="517"/>
      <c r="M10" s="518"/>
      <c r="P10" s="63"/>
      <c r="Q10" s="63"/>
    </row>
    <row r="11" spans="2:17" ht="17.25" customHeight="1">
      <c r="B11" s="519" t="s">
        <v>1258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1259</v>
      </c>
      <c r="C13" s="70" t="s">
        <v>1260</v>
      </c>
      <c r="D13" s="71">
        <f>SUMIFS('0512 4度C'!$K:$K,'0512 4度C'!$A:$A,"新豐6線",'0512 4度C'!$B:$B,"平均")</f>
        <v>119.40298507462687</v>
      </c>
      <c r="E13" s="72">
        <f>SUMIFS('0512 4度C'!$K:$K,'0512 4度C'!$A:$A,"新豐2線",'0512 4度C'!$B:$B,"平均")</f>
        <v>84.905660377358487</v>
      </c>
      <c r="F13" s="73">
        <f>SUMIFS('0512 4度C'!$K:$K,'0512 4度C'!$A:$A,"新豐5線",'0512 4度C'!$B:$B,"平均")</f>
        <v>105.61797752808988</v>
      </c>
      <c r="G13" s="73">
        <f>SUMIFS('0512 4度C'!$K:$K,'0512 4度C'!$A:$A,"新豐7線",'0512 4度C'!$B:$B,"平均")</f>
        <v>121.05263157894737</v>
      </c>
      <c r="H13" s="73">
        <f>SUMIFS('0512 4度C'!$K:$K,'0512 4度C'!$A:$A,"新豐3線",'0512 4度C'!$B:$B,"平均")</f>
        <v>255.81395348837211</v>
      </c>
      <c r="I13" s="73">
        <f>SUMIFS('0512 4度C'!$K:$K,'0512 4度C'!$A:$A,"新豐1線",'0512 4度C'!$B:$B,"平均")</f>
        <v>108.10810810810811</v>
      </c>
      <c r="J13" s="74">
        <f>SUMIFS('0512 4度C'!$K:$K,'0512 4度C'!$A:$A,"新豐10線",'0512 4度C'!$B:$B,"平均")</f>
        <v>315.78947368421052</v>
      </c>
      <c r="K13" s="75">
        <f>SUMIFS('0512 4度C'!$K:$K,'0512 4度C'!$A:$A,"新豐8線",'0512 4度C'!$B:$B,"平均")</f>
        <v>141.1764705882353</v>
      </c>
      <c r="L13" s="76">
        <f>SUMIFS('0512 4度C'!$K:$K,'0512 4度C'!$A:$A,"新豐9線",'0512 4度C'!$B:$B,"平均")</f>
        <v>124.822695035461</v>
      </c>
      <c r="M13" s="74">
        <f>SUMIFS('0512 4度C'!$K:$K,'0512 4度C'!$A:$A,"新豐4線",'0512 4度C'!$B:$B,"平均")</f>
        <v>151.35135135135135</v>
      </c>
    </row>
    <row r="14" spans="2:17" ht="39.6" customHeight="1">
      <c r="B14" s="524"/>
      <c r="C14" s="77" t="s">
        <v>1261</v>
      </c>
      <c r="D14" s="78">
        <f>SUMIFS('0512 4度C'!$N:$N,'0512 4度C'!$A:$A,"新豐6線",'0512 4度C'!$B:$B,"平均")</f>
        <v>114.02008794332866</v>
      </c>
      <c r="E14" s="79">
        <f>SUMIFS('0512 4度C'!$N:$N,'0512 4度C'!$A:$A,"新豐2線",'0512 4度C'!$B:$B,"平均")</f>
        <v>81.174618430490327</v>
      </c>
      <c r="F14" s="79">
        <f>SUMIFS('0512 4度C'!$N:$N,'0512 4度C'!$A:$A,"新豐5線",'0512 4度C'!$B:$B,"平均")</f>
        <v>101.17781742607977</v>
      </c>
      <c r="G14" s="79">
        <f>SUMIFS('0512 4度C'!$N:$N,'0512 4度C'!$A:$A,"新豐7線",'0512 4度C'!$B:$B,"平均")</f>
        <v>116.14966951243905</v>
      </c>
      <c r="H14" s="79">
        <f>SUMIFS('0512 4度C'!$N:$N,'0512 4度C'!$A:$A,"新豐3線",'0512 4度C'!$B:$B,"平均")</f>
        <v>243.59366051497108</v>
      </c>
      <c r="I14" s="79">
        <f>SUMIFS('0512 4度C'!$N:$N,'0512 4度C'!$A:$A,"新豐1線",'0512 4度C'!$B:$B,"平均")</f>
        <v>103.45628152395672</v>
      </c>
      <c r="J14" s="80">
        <f>SUMIFS('0512 4度C'!$N:$N,'0512 4度C'!$A:$A,"新豐10線",'0512 4度C'!$B:$B,"平均")</f>
        <v>303.73818253071408</v>
      </c>
      <c r="K14" s="81">
        <f>SUMIFS('0512 4度C'!$N:$N,'0512 4度C'!$A:$A,"新豐8線",'0512 4度C'!$B:$B,"平均")</f>
        <v>134.89409691693177</v>
      </c>
      <c r="L14" s="82">
        <f>SUMIFS('0512 4度C'!$N:$N,'0512 4度C'!$A:$A,"新豐9線",'0512 4度C'!$B:$B,"平均")</f>
        <v>119.196179277743</v>
      </c>
      <c r="M14" s="80">
        <f>SUMIFS('0512 4度C'!$N:$N,'0512 4度C'!$A:$A,"新豐4線",'0512 4度C'!$B:$B,"平均")</f>
        <v>144.56840810201848</v>
      </c>
    </row>
    <row r="15" spans="2:17" ht="40.15" customHeight="1">
      <c r="B15" s="525"/>
      <c r="C15" s="83" t="s">
        <v>1262</v>
      </c>
      <c r="D15" s="84">
        <f t="shared" ref="D15:M15" si="0">D14/D13</f>
        <v>0.95491823652537755</v>
      </c>
      <c r="E15" s="85">
        <f t="shared" si="0"/>
        <v>0.95605661707021949</v>
      </c>
      <c r="F15" s="85">
        <f t="shared" si="0"/>
        <v>0.95796018626820212</v>
      </c>
      <c r="G15" s="85">
        <f t="shared" si="0"/>
        <v>0.95949726988536599</v>
      </c>
      <c r="H15" s="85">
        <f t="shared" si="0"/>
        <v>0.95222976383125058</v>
      </c>
      <c r="I15" s="85">
        <f t="shared" si="0"/>
        <v>0.95697060409659962</v>
      </c>
      <c r="J15" s="86">
        <f t="shared" si="0"/>
        <v>0.961837578013928</v>
      </c>
      <c r="K15" s="84">
        <f t="shared" si="0"/>
        <v>0.95549985316160002</v>
      </c>
      <c r="L15" s="85">
        <f t="shared" si="0"/>
        <v>0.95492393625919103</v>
      </c>
      <c r="M15" s="86">
        <f t="shared" si="0"/>
        <v>0.9551841249597649</v>
      </c>
    </row>
    <row r="16" spans="2:17" ht="17.25" customHeight="1">
      <c r="B16" s="526" t="s">
        <v>1263</v>
      </c>
      <c r="C16" s="87" t="s">
        <v>1264</v>
      </c>
      <c r="D16" s="88">
        <f>VLOOKUP("新豐6線",'0512 4度C'!$A:$T,19,0)</f>
        <v>0.70833333333333337</v>
      </c>
      <c r="E16" s="89">
        <f>VLOOKUP("新豐2線",'0512 4度C'!$A:$T,19,0)</f>
        <v>0.20833333333333334</v>
      </c>
      <c r="F16" s="89">
        <f>VLOOKUP("新豐5線",'0512 4度C'!$A:$T,19,0)</f>
        <v>0.20833333333333334</v>
      </c>
      <c r="G16" s="89">
        <f>VLOOKUP("新豐7線",'0512 4度C'!$A:$T,19,0)</f>
        <v>0.20833333333333334</v>
      </c>
      <c r="H16" s="89">
        <f>VLOOKUP("新豐3線",'0512 4度C'!$A:$T,19,0)</f>
        <v>8.3333333333333329E-2</v>
      </c>
      <c r="I16" s="89">
        <f>VLOOKUP("新豐1線",'0512 4度C'!$A:$T,19,0)</f>
        <v>0.20833333333333334</v>
      </c>
      <c r="J16" s="90">
        <f>VLOOKUP("新豐10線",'0512 4度C'!$A:$T,19,0)</f>
        <v>0.20833333333333334</v>
      </c>
      <c r="K16" s="91">
        <f>VLOOKUP("新豐8線",'0512 4度C'!$A:$T,19,0)</f>
        <v>8.3333333333333329E-2</v>
      </c>
      <c r="L16" s="92">
        <f>VLOOKUP("新豐9線",'0512 4度C'!$A:$T,19,0)</f>
        <v>8.3333333333333329E-2</v>
      </c>
      <c r="M16" s="93">
        <f>VLOOKUP("新豐4線",'0512 4度C'!$A:$T,19,0)</f>
        <v>8.3333333333333329E-2</v>
      </c>
    </row>
    <row r="17" spans="2:13" ht="17.25" customHeight="1">
      <c r="B17" s="527"/>
      <c r="C17" s="87" t="s">
        <v>1265</v>
      </c>
      <c r="D17" s="91">
        <f>LOOKUP(2,1/(('0512 4度C'!$A:$A="新豐6線")*('0512 4度C'!$T:$T&lt;&gt;"")),'0512 4度C'!$T:$T)</f>
        <v>0.8388888888888888</v>
      </c>
      <c r="E17" s="89">
        <f>LOOKUP(2,1/(('0512 4度C'!$A:$A="新豐2線")*('0512 4度C'!$T:$T&lt;&gt;"")),'0512 4度C'!$T:$T)</f>
        <v>0.61180555555555549</v>
      </c>
      <c r="F17" s="89">
        <f>LOOKUP(2,1/(('0512 4度C'!$A:$A="新豐5線")*('0512 4度C'!$T:$T&lt;&gt;"")),'0512 4度C'!$T:$T)</f>
        <v>0.84444444444444444</v>
      </c>
      <c r="G17" s="89">
        <f>LOOKUP(2,1/(('0512 4度C'!$A:$A="新豐7線")*('0512 4度C'!$T:$T&lt;&gt;"")),'0512 4度C'!$T:$T)</f>
        <v>0.81458333333333333</v>
      </c>
      <c r="H17" s="89">
        <f>LOOKUP(2,1/(('0512 4度C'!$A:$A="新豐3線")*('0512 4度C'!$T:$T&lt;&gt;"")),'0512 4度C'!$T:$T)</f>
        <v>0.45486111111111105</v>
      </c>
      <c r="I17" s="89">
        <f>LOOKUP(2,1/(('0512 4度C'!$A:$A="新豐1線")*('0512 4度C'!$T:$T&lt;&gt;"")),'0512 4度C'!$T:$T)</f>
        <v>0.82986111111111116</v>
      </c>
      <c r="J17" s="90">
        <f>LOOKUP(2,1/(('0512 4度C'!$A:$A="新豐10線")*('0512 4度C'!$T:$T&lt;&gt;"")),'0512 4度C'!$T:$T)</f>
        <v>0.43402777777777773</v>
      </c>
      <c r="K17" s="88">
        <f>LOOKUP(2,1/(('0512 4度C'!$A:$A="新豐8線")*('0512 4度C'!$T:$T&lt;&gt;"")),'0512 4度C'!$T:$T)</f>
        <v>0.75416666666666665</v>
      </c>
      <c r="L17" s="89">
        <f>LOOKUP(2,1/(('0512 4度C'!$A:$A="新豐9線")*('0512 4度C'!$T:$T&lt;&gt;"")),'0512 4度C'!$T:$T)</f>
        <v>0.73124999999999996</v>
      </c>
      <c r="M17" s="90">
        <f>LOOKUP(2,1/(('0512 4度C'!$A:$A="新豐4線")*('0512 4度C'!$T:$T&lt;&gt;"")),'0512 4度C'!$T:$T)</f>
        <v>0.72430555555555542</v>
      </c>
    </row>
    <row r="18" spans="2:13" ht="17.25" customHeight="1">
      <c r="B18" s="505" t="s">
        <v>1266</v>
      </c>
      <c r="C18" s="94" t="s">
        <v>1267</v>
      </c>
      <c r="D18" s="95">
        <f>SUMIFS('0512 4度C'!$Y:$Y,'0512 4度C'!$A:$A,"新豐6線",'0512 4度C'!$B:$B,"平均")</f>
        <v>0</v>
      </c>
      <c r="E18" s="96">
        <f>SUMIFS('0512 4度C'!$Y:$Y,'0512 4度C'!$A:$A,"新豐2線",'0512 4度C'!$B:$B,"平均")</f>
        <v>0</v>
      </c>
      <c r="F18" s="96">
        <f>SUMIFS('0512 4度C'!$Y:$Y,'0512 4度C'!$A:$A,"新豐5線",'0512 4度C'!$B:$B,"平均")</f>
        <v>0</v>
      </c>
      <c r="G18" s="96">
        <f>SUMIFS('0512 4度C'!$Y:$Y,'0512 4度C'!$A:$A,"新豐7線",'0512 4度C'!$B:$B,"平均")</f>
        <v>0</v>
      </c>
      <c r="H18" s="96">
        <f>SUMIFS('0512 4度C'!$Y:$Y,'0512 4度C'!$A:$A,"新豐3線",'0512 4度C'!$B:$B,"平均")</f>
        <v>0</v>
      </c>
      <c r="I18" s="96">
        <f>SUMIFS('0512 4度C'!$Y:$Y,'0512 4度C'!$A:$A,"新豐1線",'0512 4度C'!$B:$B,"平均")</f>
        <v>0</v>
      </c>
      <c r="J18" s="97">
        <f>SUMIFS('0512 4度C'!$Y:$Y,'0512 4度C'!$A:$A,"新豐10線",'0512 4度C'!$B:$B,"平均")</f>
        <v>0</v>
      </c>
      <c r="K18" s="98">
        <f>SUMIFS('0512 4度C'!$Y:$Y,'0512 4度C'!$A:$A,"新豐8線",'0512 4度C'!$B:$B,"平均")</f>
        <v>0</v>
      </c>
      <c r="L18" s="96">
        <f>SUMIFS('0512 4度C'!$Y:$Y,'0512 4度C'!$A:$A,"新豐9線",'0512 4度C'!$B:$B,"平均")</f>
        <v>0</v>
      </c>
      <c r="M18" s="97">
        <f>SUMIFS('0512 4度C'!$Y:$Y,'0512 4度C'!$A:$A,"新豐4線",'0512 4度C'!$B:$B,"平均")</f>
        <v>0</v>
      </c>
    </row>
    <row r="19" spans="2:13" ht="17.25" customHeight="1">
      <c r="B19" s="506"/>
      <c r="C19" s="94" t="s">
        <v>1268</v>
      </c>
      <c r="D19" s="95">
        <f>SUMIFS('0512 4度C'!$Z:$Z,'0512 4度C'!$A:$A,"新豐6線",'0512 4度C'!$B:$B,"平均")</f>
        <v>0</v>
      </c>
      <c r="E19" s="96">
        <f>SUMIFS('0512 4度C'!$Z:$Z,'0512 4度C'!$A:$A,"新豐2線",'0512 4度C'!$B:$B,"平均")</f>
        <v>0</v>
      </c>
      <c r="F19" s="96">
        <f>SUMIFS('0512 4度C'!$Z:$Z,'0512 4度C'!$A:$A,"新豐5線",'0512 4度C'!$B:$B,"平均")</f>
        <v>0</v>
      </c>
      <c r="G19" s="96">
        <f>SUMIFS('0512 4度C'!$Z:$Z,'0512 4度C'!$A:$A,"新豐7線",'0512 4度C'!$B:$B,"平均")</f>
        <v>0</v>
      </c>
      <c r="H19" s="96">
        <f>SUMIFS('0512 4度C'!$Z:$Z,'0512 4度C'!$A:$A,"新豐3線",'0512 4度C'!$B:$B,"平均")</f>
        <v>0</v>
      </c>
      <c r="I19" s="96">
        <f>SUMIFS('0512 4度C'!$Z:$Z,'0512 4度C'!$A:$A,"新豐1線",'0512 4度C'!$B:$B,"平均")</f>
        <v>0</v>
      </c>
      <c r="J19" s="97">
        <f>SUMIFS('0512 4度C'!$Z:$Z,'0512 4度C'!$A:$A,"新豐10線",'0512 4度C'!$B:$B,"平均")</f>
        <v>0</v>
      </c>
      <c r="K19" s="98">
        <f>SUMIFS('0512 4度C'!$Z:$Z,'0512 4度C'!$A:$A,"新豐8線",'0512 4度C'!$B:$B,"平均")</f>
        <v>0</v>
      </c>
      <c r="L19" s="96">
        <f>SUMIFS('0512 4度C'!$Z:$Z,'0512 4度C'!$A:$A,"新豐9線",'0512 4度C'!$B:$B,"平均")</f>
        <v>0</v>
      </c>
      <c r="M19" s="97">
        <f>SUMIFS('0512 4度C'!$Z:$Z,'0512 4度C'!$A:$A,"新豐4線",'0512 4度C'!$B:$B,"平均")</f>
        <v>0</v>
      </c>
    </row>
    <row r="20" spans="2:13" ht="17.25" customHeight="1">
      <c r="B20" s="505" t="s">
        <v>1269</v>
      </c>
      <c r="C20" s="94" t="s">
        <v>1267</v>
      </c>
      <c r="D20" s="95">
        <f>SUMIFS('0512 4度C'!$AC:$AC,'0512 4度C'!$A:$A,"新豐6線",'0512 4度C'!$B:$B,"平均")</f>
        <v>4</v>
      </c>
      <c r="E20" s="96">
        <f>SUMIFS('0512 4度C'!$AC:$AC,'0512 4度C'!$A:$A,"新豐2線",'0512 4度C'!$B:$B,"平均")</f>
        <v>3</v>
      </c>
      <c r="F20" s="96">
        <f>SUMIFS('0512 4度C'!$AC:$AC,'0512 4度C'!$A:$A,"新豐5線",'0512 4度C'!$B:$B,"平均")</f>
        <v>5</v>
      </c>
      <c r="G20" s="96">
        <f>SUMIFS('0512 4度C'!$AC:$AC,'0512 4度C'!$A:$A,"新豐7線",'0512 4度C'!$B:$B,"平均")</f>
        <v>6</v>
      </c>
      <c r="H20" s="96">
        <f>SUMIFS('0512 4度C'!$AC:$AC,'0512 4度C'!$A:$A,"新豐3線",'0512 4度C'!$B:$B,"平均")</f>
        <v>4</v>
      </c>
      <c r="I20" s="96">
        <f>SUMIFS('0512 4度C'!$AC:$AC,'0512 4度C'!$A:$A,"新豐1線",'0512 4度C'!$B:$B,"平均")</f>
        <v>10</v>
      </c>
      <c r="J20" s="97">
        <f>SUMIFS('0512 4度C'!$AC:$AC,'0512 4度C'!$A:$A,"新豐10線",'0512 4度C'!$B:$B,"平均")</f>
        <v>6</v>
      </c>
      <c r="K20" s="98">
        <f>SUMIFS('0512 4度C'!$AC:$AC,'0512 4度C'!$A:$A,"新豐8線",'0512 4度C'!$B:$B,"平均")</f>
        <v>9</v>
      </c>
      <c r="L20" s="96">
        <f>SUMIFS('0512 4度C'!$AC:$AC,'0512 4度C'!$A:$A,"新豐9線",'0512 4度C'!$B:$B,"平均")</f>
        <v>8</v>
      </c>
      <c r="M20" s="97">
        <f>SUMIFS('0512 4度C'!$AC:$AC,'0512 4度C'!$A:$A,"新豐4線",'0512 4度C'!$B:$B,"平均")</f>
        <v>7</v>
      </c>
    </row>
    <row r="21" spans="2:13" ht="17.25" customHeight="1">
      <c r="B21" s="506"/>
      <c r="C21" s="94" t="s">
        <v>1270</v>
      </c>
      <c r="D21" s="95">
        <f>SUMIFS('0512 4度C'!$AD:$AD,'0512 4度C'!$A:$A,"新豐6線",'0512 4度C'!$B:$B,"平均")</f>
        <v>0</v>
      </c>
      <c r="E21" s="96">
        <f>SUMIFS('0512 4度C'!$AD:$AD,'0512 4度C'!$A:$A,"新豐2線",'0512 4度C'!$B:$B,"平均")</f>
        <v>0</v>
      </c>
      <c r="F21" s="96">
        <f>SUMIFS('0512 4度C'!$AD:$AD,'0512 4度C'!$A:$A,"新豐5線",'0512 4度C'!$B:$B,"平均")</f>
        <v>0</v>
      </c>
      <c r="G21" s="96">
        <f>SUMIFS('0512 4度C'!$AD:$AD,'0512 4度C'!$A:$A,"新豐7線",'0512 4度C'!$B:$B,"平均")</f>
        <v>0</v>
      </c>
      <c r="H21" s="96">
        <f>SUMIFS('0512 4度C'!$AD:$AD,'0512 4度C'!$A:$A,"新豐3線",'0512 4度C'!$B:$B,"平均")</f>
        <v>0</v>
      </c>
      <c r="I21" s="96">
        <f>SUMIFS('0512 4度C'!$AD:$AD,'0512 4度C'!$A:$A,"新豐1線",'0512 4度C'!$B:$B,"平均")</f>
        <v>0</v>
      </c>
      <c r="J21" s="97">
        <f>SUMIFS('0512 4度C'!$AD:$AD,'0512 4度C'!$A:$A,"新豐10線",'0512 4度C'!$B:$B,"平均")</f>
        <v>0</v>
      </c>
      <c r="K21" s="98">
        <f>SUMIFS('0512 4度C'!$AD:$AD,'0512 4度C'!$A:$A,"新豐8線",'0512 4度C'!$B:$B,"平均")</f>
        <v>0</v>
      </c>
      <c r="L21" s="96">
        <f>SUMIFS('0512 4度C'!$AD:$AD,'0512 4度C'!$A:$A,"新豐9線",'0512 4度C'!$B:$B,"平均")</f>
        <v>0</v>
      </c>
      <c r="M21" s="97">
        <f>SUMIFS('0512 4度C'!$AD:$AD,'0512 4度C'!$A:$A,"新豐4線",'0512 4度C'!$B:$B,"平均")</f>
        <v>0</v>
      </c>
    </row>
    <row r="22" spans="2:13" ht="17.25" customHeight="1">
      <c r="B22" s="507" t="s">
        <v>1271</v>
      </c>
      <c r="C22" s="508"/>
      <c r="D22" s="99">
        <f>SUMIFS('0512 4度C'!$I:$I,'0512 4度C'!$A:$A,"新豐6線",'0512 4度C'!$B:$B,"平均")</f>
        <v>16.75</v>
      </c>
      <c r="E22" s="100">
        <f>SUMIFS('0512 4度C'!$I:$I,'0512 4度C'!$A:$A,"新豐2線",'0512 4度C'!$B:$B,"平均")</f>
        <v>17.666666666666668</v>
      </c>
      <c r="F22" s="100">
        <f>SUMIFS('0512 4度C'!$I:$I,'0512 4度C'!$A:$A,"新豐5線",'0512 4度C'!$B:$B,"平均")</f>
        <v>17.8</v>
      </c>
      <c r="G22" s="100">
        <f>SUMIFS('0512 4度C'!$I:$I,'0512 4度C'!$A:$A,"新豐7線",'0512 4度C'!$B:$B,"平均")</f>
        <v>15.833333333333334</v>
      </c>
      <c r="H22" s="100">
        <f>SUMIFS('0512 4度C'!$I:$I,'0512 4度C'!$A:$A,"新豐3線",'0512 4度C'!$B:$B,"平均")</f>
        <v>10.75</v>
      </c>
      <c r="I22" s="100">
        <f>SUMIFS('0512 4度C'!$I:$I,'0512 4度C'!$A:$A,"新豐1線",'0512 4度C'!$B:$B,"平均")</f>
        <v>18.5</v>
      </c>
      <c r="J22" s="101">
        <f>SUMIFS('0512 4度C'!$I:$I,'0512 4度C'!$A:$A,"新豐10線",'0512 4度C'!$B:$B,"平均")</f>
        <v>9.5</v>
      </c>
      <c r="K22" s="99">
        <f>SUMIFS('0512 4度C'!$I:$I,'0512 4度C'!$A:$A,"新豐8線",'0512 4度C'!$B:$B,"平均")</f>
        <v>17</v>
      </c>
      <c r="L22" s="100">
        <f>SUMIFS('0512 4度C'!$I:$I,'0512 4度C'!$A:$A,"新豐9線",'0512 4度C'!$B:$B,"平均")</f>
        <v>17.625</v>
      </c>
      <c r="M22" s="101">
        <f>SUMIFS('0512 4度C'!$I:$I,'0512 4度C'!$A:$A,"新豐4線",'0512 4度C'!$B:$B,"平均")</f>
        <v>15.857142857142858</v>
      </c>
    </row>
    <row r="23" spans="2:13" ht="17.25" customHeight="1">
      <c r="B23" s="507" t="s">
        <v>1272</v>
      </c>
      <c r="C23" s="508"/>
      <c r="D23" s="102" t="s">
        <v>177</v>
      </c>
      <c r="E23" s="103" t="s">
        <v>178</v>
      </c>
      <c r="F23" s="103" t="s">
        <v>1273</v>
      </c>
      <c r="G23" s="103" t="s">
        <v>1273</v>
      </c>
      <c r="H23" s="103" t="s">
        <v>180</v>
      </c>
      <c r="I23" s="103" t="s">
        <v>177</v>
      </c>
      <c r="J23" s="104" t="s">
        <v>180</v>
      </c>
      <c r="K23" s="102" t="s">
        <v>1274</v>
      </c>
      <c r="L23" s="103" t="s">
        <v>1275</v>
      </c>
      <c r="M23" s="104" t="s">
        <v>1274</v>
      </c>
    </row>
    <row r="24" spans="2:13" ht="17.25" customHeight="1">
      <c r="B24" s="507" t="s">
        <v>1276</v>
      </c>
      <c r="C24" s="508"/>
      <c r="D24" s="102"/>
      <c r="E24" s="103"/>
      <c r="F24" s="103" t="s">
        <v>1277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1278</v>
      </c>
      <c r="C25" s="510"/>
      <c r="D25" s="105"/>
      <c r="E25" s="106" t="s">
        <v>1279</v>
      </c>
      <c r="F25" s="503" t="s">
        <v>1280</v>
      </c>
      <c r="G25" s="504"/>
      <c r="H25" s="106" t="s">
        <v>1281</v>
      </c>
      <c r="I25" s="106" t="s">
        <v>1282</v>
      </c>
      <c r="J25" s="107" t="s">
        <v>1283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0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7"/>
  <sheetViews>
    <sheetView zoomScale="80" zoomScaleNormal="80" workbookViewId="0">
      <pane ySplit="4" topLeftCell="A5" activePane="bottomLeft" state="frozen"/>
      <selection activeCell="E3" sqref="E3"/>
      <selection pane="bottomLeft" activeCell="E3" sqref="E3:E4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SUM(F5:F76)</f>
        <v>194983</v>
      </c>
      <c r="E1" s="231" t="s">
        <v>2</v>
      </c>
      <c r="F1" s="1">
        <f>SUM(G5:G76)</f>
        <v>6698514.540000001</v>
      </c>
      <c r="G1" s="1" t="s">
        <v>3</v>
      </c>
      <c r="H1" s="5">
        <f>L9+L13+L50+L61+L19+L68+L36+L45+L26+L76</f>
        <v>157.28214285714287</v>
      </c>
      <c r="I1" s="617" t="s">
        <v>4</v>
      </c>
      <c r="J1" s="617"/>
      <c r="K1" s="617"/>
      <c r="L1" s="617" t="s">
        <v>5</v>
      </c>
      <c r="M1" s="617"/>
      <c r="N1" s="617"/>
      <c r="O1" s="617" t="s">
        <v>6</v>
      </c>
      <c r="P1" s="617"/>
      <c r="Q1" s="617"/>
      <c r="R1" s="617"/>
      <c r="S1" s="617" t="s">
        <v>243</v>
      </c>
      <c r="T1" s="617"/>
      <c r="U1" s="617"/>
      <c r="V1" s="617"/>
      <c r="W1" s="617"/>
      <c r="X1" s="617"/>
      <c r="Y1" s="6" t="s">
        <v>8</v>
      </c>
      <c r="Z1" s="7" t="s">
        <v>9</v>
      </c>
      <c r="AA1" s="618" t="s">
        <v>349</v>
      </c>
      <c r="AB1" s="618"/>
      <c r="AC1" s="121" t="s">
        <v>8</v>
      </c>
      <c r="AD1" s="7" t="s">
        <v>247</v>
      </c>
      <c r="AE1" s="617" t="s">
        <v>12</v>
      </c>
      <c r="AF1" s="619"/>
      <c r="AG1" s="619"/>
    </row>
    <row r="2" spans="1:33" ht="26.25" customHeight="1">
      <c r="A2" s="37">
        <v>46154</v>
      </c>
      <c r="B2" s="38" t="s">
        <v>527</v>
      </c>
      <c r="C2" s="2" t="s">
        <v>13</v>
      </c>
      <c r="D2" s="10">
        <f>AVERAGE(N9,N13,N50,N61,N19,N68,N26,N36,N45,N76)</f>
        <v>146.19690021786732</v>
      </c>
      <c r="E2" s="11" t="s">
        <v>14</v>
      </c>
      <c r="F2" s="12">
        <f>F1/D1</f>
        <v>34.354351610140377</v>
      </c>
      <c r="G2" s="1" t="s">
        <v>250</v>
      </c>
      <c r="H2" s="244">
        <f>COUNT(H5:H76)</f>
        <v>13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SUM(Y9+Y13+Y19+Y26+Y36+Y45+Y50+Y61+Y68+Y76)</f>
        <v>0</v>
      </c>
      <c r="Z2" s="14">
        <f>SUM(Z9+Z13+Z19+Z26+Z36+Z45+Z50+Z61+Z68+Z76)</f>
        <v>0</v>
      </c>
      <c r="AA2" s="618"/>
      <c r="AB2" s="618"/>
      <c r="AC2" s="122">
        <v>62</v>
      </c>
      <c r="AD2" s="14">
        <f>SUM(AD9+AD13+AD19+AD26+AD36+AD45+AD50+AD61+AD68+AD76)</f>
        <v>0</v>
      </c>
      <c r="AE2" s="619"/>
      <c r="AF2" s="619"/>
      <c r="AG2" s="619"/>
    </row>
    <row r="3" spans="1:33" ht="40.5" customHeight="1">
      <c r="A3" s="575" t="s">
        <v>16</v>
      </c>
      <c r="B3" s="575" t="s">
        <v>252</v>
      </c>
      <c r="C3" s="575" t="s">
        <v>689</v>
      </c>
      <c r="D3" s="575"/>
      <c r="E3" s="615" t="s">
        <v>254</v>
      </c>
      <c r="F3" s="575" t="s">
        <v>20</v>
      </c>
      <c r="G3" s="615" t="s">
        <v>21</v>
      </c>
      <c r="H3" s="608" t="s">
        <v>589</v>
      </c>
      <c r="I3" s="606" t="s">
        <v>258</v>
      </c>
      <c r="J3" s="603" t="s">
        <v>24</v>
      </c>
      <c r="K3" s="613" t="s">
        <v>13</v>
      </c>
      <c r="L3" s="606" t="s">
        <v>258</v>
      </c>
      <c r="M3" s="603" t="s">
        <v>24</v>
      </c>
      <c r="N3" s="613" t="s">
        <v>13</v>
      </c>
      <c r="O3" s="606" t="s">
        <v>258</v>
      </c>
      <c r="P3" s="613" t="s">
        <v>13</v>
      </c>
      <c r="Q3" s="604" t="s">
        <v>35</v>
      </c>
      <c r="R3" s="582" t="s">
        <v>261</v>
      </c>
      <c r="S3" s="614" t="s">
        <v>28</v>
      </c>
      <c r="T3" s="614"/>
      <c r="U3" s="608" t="s">
        <v>29</v>
      </c>
      <c r="V3" s="608" t="s">
        <v>30</v>
      </c>
      <c r="W3" s="575" t="s">
        <v>31</v>
      </c>
      <c r="X3" s="575"/>
      <c r="Y3" s="609" t="s">
        <v>1284</v>
      </c>
      <c r="Z3" s="572"/>
      <c r="AA3" s="610" t="s">
        <v>371</v>
      </c>
      <c r="AB3" s="611"/>
      <c r="AC3" s="609" t="s">
        <v>1285</v>
      </c>
      <c r="AD3" s="572"/>
      <c r="AE3" s="603" t="s">
        <v>24</v>
      </c>
      <c r="AF3" s="604" t="s">
        <v>35</v>
      </c>
      <c r="AG3" s="582" t="s">
        <v>261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243" t="s">
        <v>36</v>
      </c>
      <c r="T4" s="243" t="s">
        <v>37</v>
      </c>
      <c r="U4" s="608"/>
      <c r="V4" s="608"/>
      <c r="W4" s="231" t="s">
        <v>38</v>
      </c>
      <c r="X4" s="231" t="s">
        <v>1286</v>
      </c>
      <c r="Y4" s="237" t="s">
        <v>1287</v>
      </c>
      <c r="Z4" s="237" t="s">
        <v>41</v>
      </c>
      <c r="AA4" s="612"/>
      <c r="AB4" s="611"/>
      <c r="AC4" s="237" t="s">
        <v>42</v>
      </c>
      <c r="AD4" s="237" t="s">
        <v>43</v>
      </c>
      <c r="AE4" s="603"/>
      <c r="AF4" s="604"/>
      <c r="AG4" s="582"/>
    </row>
    <row r="5" spans="1:33">
      <c r="A5" s="605" t="s">
        <v>1234</v>
      </c>
      <c r="B5" s="39" t="s">
        <v>74</v>
      </c>
      <c r="C5" s="607" t="s">
        <v>75</v>
      </c>
      <c r="D5" s="607"/>
      <c r="E5" s="39">
        <v>50.67</v>
      </c>
      <c r="F5" s="243">
        <v>1566</v>
      </c>
      <c r="G5" s="231">
        <f t="shared" ref="G5:G8" si="0">E5*F5</f>
        <v>79349.22</v>
      </c>
      <c r="H5" s="48" t="s">
        <v>126</v>
      </c>
      <c r="I5" s="241">
        <v>17</v>
      </c>
      <c r="J5" s="43">
        <v>2000</v>
      </c>
      <c r="K5" s="18">
        <f t="shared" ref="K5:K68" si="1">J5/I5</f>
        <v>117.64705882352941</v>
      </c>
      <c r="L5" s="241">
        <v>17</v>
      </c>
      <c r="M5" s="19">
        <f t="shared" ref="M5:M8" si="2">F5/V5*60</f>
        <v>1917.5510204081638</v>
      </c>
      <c r="N5" s="18">
        <f t="shared" ref="N5:N68" si="3">M5/L5</f>
        <v>112.79711884753905</v>
      </c>
      <c r="O5" s="20">
        <f t="shared" ref="O5:O68" si="4">L5-I5</f>
        <v>0</v>
      </c>
      <c r="P5" s="21">
        <f t="shared" ref="P5:P68" si="5">N5-K5</f>
        <v>-4.8499399759903525</v>
      </c>
      <c r="Q5" s="230">
        <f t="shared" ref="Q5:Q68" si="6">N5/K5</f>
        <v>0.95877551020408203</v>
      </c>
      <c r="R5" s="573">
        <f>Q9</f>
        <v>0.95491823652537755</v>
      </c>
      <c r="S5" s="49">
        <v>0.70833333333333337</v>
      </c>
      <c r="T5" s="49">
        <v>0.74236111111111114</v>
      </c>
      <c r="U5" s="231"/>
      <c r="V5" s="242">
        <f t="shared" ref="V5:V8" si="7">(T5-S5)*24*60</f>
        <v>48.999999999999986</v>
      </c>
      <c r="W5" s="25"/>
      <c r="X5" s="26"/>
      <c r="Y5" s="26"/>
      <c r="Z5" s="26"/>
      <c r="AA5" s="575"/>
      <c r="AB5" s="575"/>
      <c r="AC5" s="50">
        <v>4</v>
      </c>
      <c r="AD5" s="27"/>
      <c r="AE5" s="20">
        <f t="shared" ref="AE5:AE60" si="8">M5-J5</f>
        <v>-82.448979591836178</v>
      </c>
      <c r="AF5" s="230">
        <f t="shared" ref="AF5:AF68" si="9">M5/J5</f>
        <v>0.95877551020408192</v>
      </c>
      <c r="AG5" s="573">
        <f>AF9</f>
        <v>0.95491823652537755</v>
      </c>
    </row>
    <row r="6" spans="1:33">
      <c r="A6" s="606" t="s">
        <v>1234</v>
      </c>
      <c r="B6" s="39" t="s">
        <v>74</v>
      </c>
      <c r="C6" s="607" t="s">
        <v>76</v>
      </c>
      <c r="D6" s="607"/>
      <c r="E6" s="39">
        <v>54.09</v>
      </c>
      <c r="F6" s="243">
        <v>407</v>
      </c>
      <c r="G6" s="231">
        <f t="shared" si="0"/>
        <v>22014.63</v>
      </c>
      <c r="H6" s="48" t="s">
        <v>126</v>
      </c>
      <c r="I6" s="241">
        <v>19</v>
      </c>
      <c r="J6" s="43">
        <v>2000</v>
      </c>
      <c r="K6" s="18">
        <f t="shared" si="1"/>
        <v>105.26315789473684</v>
      </c>
      <c r="L6" s="241">
        <v>19</v>
      </c>
      <c r="M6" s="19">
        <f t="shared" si="2"/>
        <v>1878.461538461522</v>
      </c>
      <c r="N6" s="18">
        <f t="shared" si="3"/>
        <v>98.866396761132734</v>
      </c>
      <c r="O6" s="20">
        <f t="shared" si="4"/>
        <v>0</v>
      </c>
      <c r="P6" s="21">
        <f t="shared" si="5"/>
        <v>-6.3967611336041017</v>
      </c>
      <c r="Q6" s="230">
        <f t="shared" si="6"/>
        <v>0.93923076923076099</v>
      </c>
      <c r="R6" s="573"/>
      <c r="S6" s="49">
        <v>0.74791666666666667</v>
      </c>
      <c r="T6" s="49">
        <v>0.75694444444444453</v>
      </c>
      <c r="U6" s="231">
        <f t="shared" ref="U6:U8" si="10">IF(S6=TIME(17,0,0),"",(S6-T5)*24*60)</f>
        <v>7.9999999999999716</v>
      </c>
      <c r="V6" s="242">
        <f t="shared" si="7"/>
        <v>13.000000000000114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-121.53846153847803</v>
      </c>
      <c r="AF6" s="230">
        <f t="shared" si="9"/>
        <v>0.93923076923076099</v>
      </c>
      <c r="AG6" s="573"/>
    </row>
    <row r="7" spans="1:33">
      <c r="A7" s="606" t="s">
        <v>1234</v>
      </c>
      <c r="B7" s="39" t="s">
        <v>74</v>
      </c>
      <c r="C7" s="598" t="s">
        <v>77</v>
      </c>
      <c r="D7" s="599"/>
      <c r="E7" s="39">
        <v>50.67</v>
      </c>
      <c r="F7" s="243">
        <v>1723</v>
      </c>
      <c r="G7" s="231">
        <f t="shared" si="0"/>
        <v>87304.41</v>
      </c>
      <c r="H7" s="48" t="s">
        <v>126</v>
      </c>
      <c r="I7" s="241">
        <v>15</v>
      </c>
      <c r="J7" s="43">
        <v>2000</v>
      </c>
      <c r="K7" s="18">
        <f t="shared" si="1"/>
        <v>133.33333333333334</v>
      </c>
      <c r="L7" s="241">
        <v>15</v>
      </c>
      <c r="M7" s="19">
        <f t="shared" si="2"/>
        <v>1914.4444444444453</v>
      </c>
      <c r="N7" s="18">
        <f t="shared" si="3"/>
        <v>127.62962962962969</v>
      </c>
      <c r="O7" s="20">
        <f t="shared" si="4"/>
        <v>0</v>
      </c>
      <c r="P7" s="21">
        <f t="shared" si="5"/>
        <v>-5.7037037037036526</v>
      </c>
      <c r="Q7" s="230">
        <f t="shared" si="6"/>
        <v>0.95722222222222264</v>
      </c>
      <c r="R7" s="573"/>
      <c r="S7" s="49">
        <v>0.76041666666666663</v>
      </c>
      <c r="T7" s="49">
        <v>0.79791666666666661</v>
      </c>
      <c r="U7" s="231">
        <f t="shared" si="10"/>
        <v>4.9999999999998224</v>
      </c>
      <c r="V7" s="242">
        <f t="shared" si="7"/>
        <v>53.999999999999972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-85.555555555554747</v>
      </c>
      <c r="AF7" s="230">
        <f t="shared" si="9"/>
        <v>0.95722222222222264</v>
      </c>
      <c r="AG7" s="573"/>
    </row>
    <row r="8" spans="1:33">
      <c r="A8" s="606" t="s">
        <v>1234</v>
      </c>
      <c r="B8" s="39" t="s">
        <v>74</v>
      </c>
      <c r="C8" s="598" t="s">
        <v>78</v>
      </c>
      <c r="D8" s="599"/>
      <c r="E8" s="39">
        <v>52.86</v>
      </c>
      <c r="F8" s="243">
        <v>1736</v>
      </c>
      <c r="G8" s="231">
        <f t="shared" si="0"/>
        <v>91764.959999999992</v>
      </c>
      <c r="H8" s="48" t="s">
        <v>126</v>
      </c>
      <c r="I8" s="241">
        <v>16</v>
      </c>
      <c r="J8" s="43">
        <v>2000</v>
      </c>
      <c r="K8" s="18">
        <f t="shared" si="1"/>
        <v>125</v>
      </c>
      <c r="L8" s="241">
        <v>16</v>
      </c>
      <c r="M8" s="19">
        <f t="shared" si="2"/>
        <v>1928.8888888888901</v>
      </c>
      <c r="N8" s="18">
        <f t="shared" si="3"/>
        <v>120.55555555555563</v>
      </c>
      <c r="O8" s="20">
        <f t="shared" si="4"/>
        <v>0</v>
      </c>
      <c r="P8" s="21">
        <f t="shared" si="5"/>
        <v>-4.4444444444443718</v>
      </c>
      <c r="Q8" s="230">
        <f t="shared" si="6"/>
        <v>0.96444444444444499</v>
      </c>
      <c r="R8" s="573"/>
      <c r="S8" s="49">
        <v>0.80138888888888882</v>
      </c>
      <c r="T8" s="49">
        <v>0.8388888888888888</v>
      </c>
      <c r="U8" s="231">
        <f t="shared" si="10"/>
        <v>4.9999999999999822</v>
      </c>
      <c r="V8" s="242">
        <f t="shared" si="7"/>
        <v>53.999999999999972</v>
      </c>
      <c r="W8" s="30"/>
      <c r="X8" s="30"/>
      <c r="Y8" s="31"/>
      <c r="Z8" s="31"/>
      <c r="AA8" s="568"/>
      <c r="AB8" s="569"/>
      <c r="AC8" s="50"/>
      <c r="AD8" s="29"/>
      <c r="AE8" s="20">
        <f t="shared" si="8"/>
        <v>-71.111111111109949</v>
      </c>
      <c r="AF8" s="230">
        <f t="shared" si="9"/>
        <v>0.96444444444444499</v>
      </c>
      <c r="AG8" s="573"/>
    </row>
    <row r="9" spans="1:33">
      <c r="A9" s="606" t="s">
        <v>1234</v>
      </c>
      <c r="B9" s="39" t="s">
        <v>1235</v>
      </c>
      <c r="C9" s="576"/>
      <c r="D9" s="576"/>
      <c r="E9" s="236"/>
      <c r="F9" s="42"/>
      <c r="G9" s="18"/>
      <c r="H9" s="243"/>
      <c r="I9" s="32">
        <v>16.75</v>
      </c>
      <c r="J9" s="43">
        <v>2000</v>
      </c>
      <c r="K9" s="18">
        <f t="shared" si="1"/>
        <v>119.40298507462687</v>
      </c>
      <c r="L9" s="32">
        <v>16.75</v>
      </c>
      <c r="M9" s="19">
        <f>AVERAGE(M5:M8)</f>
        <v>1909.8364730507551</v>
      </c>
      <c r="N9" s="18">
        <f t="shared" si="3"/>
        <v>114.02008794332866</v>
      </c>
      <c r="O9" s="20">
        <f t="shared" si="4"/>
        <v>0</v>
      </c>
      <c r="P9" s="21">
        <f t="shared" si="5"/>
        <v>-5.3828971312982077</v>
      </c>
      <c r="Q9" s="230">
        <f t="shared" si="6"/>
        <v>0.95491823652537755</v>
      </c>
      <c r="R9" s="573"/>
      <c r="S9" s="49"/>
      <c r="T9" s="49"/>
      <c r="U9" s="231"/>
      <c r="V9" s="242"/>
      <c r="W9" s="18"/>
      <c r="X9" s="18"/>
      <c r="Y9" s="33">
        <f>SUM(Y5:Y8)</f>
        <v>0</v>
      </c>
      <c r="Z9" s="33">
        <f>SUM(Z5:Z8)</f>
        <v>0</v>
      </c>
      <c r="AA9" s="572"/>
      <c r="AB9" s="572"/>
      <c r="AC9" s="33">
        <v>4</v>
      </c>
      <c r="AD9" s="33">
        <f>SUM(AD5:AD8)</f>
        <v>0</v>
      </c>
      <c r="AE9" s="20">
        <f t="shared" si="8"/>
        <v>-90.163526949244897</v>
      </c>
      <c r="AF9" s="230">
        <f t="shared" si="9"/>
        <v>0.95491823652537755</v>
      </c>
      <c r="AG9" s="573"/>
    </row>
    <row r="10" spans="1:33" ht="15.75" customHeight="1">
      <c r="A10" s="602" t="s">
        <v>47</v>
      </c>
      <c r="B10" s="39" t="s">
        <v>79</v>
      </c>
      <c r="C10" s="598" t="s">
        <v>80</v>
      </c>
      <c r="D10" s="599"/>
      <c r="E10" s="39">
        <v>39.619999999999997</v>
      </c>
      <c r="F10" s="243">
        <v>5069</v>
      </c>
      <c r="G10" s="231">
        <f t="shared" ref="G10:G12" si="11">E10*F10</f>
        <v>200833.78</v>
      </c>
      <c r="H10" s="48" t="s">
        <v>126</v>
      </c>
      <c r="I10" s="241">
        <v>19</v>
      </c>
      <c r="J10" s="43">
        <v>1500</v>
      </c>
      <c r="K10" s="18">
        <f t="shared" si="1"/>
        <v>78.94736842105263</v>
      </c>
      <c r="L10" s="241">
        <v>19</v>
      </c>
      <c r="M10" s="19">
        <f t="shared" ref="M10:M12" si="12">F10/V10*60</f>
        <v>1434.6226415094341</v>
      </c>
      <c r="N10" s="18">
        <f t="shared" si="3"/>
        <v>75.506454816286009</v>
      </c>
      <c r="O10" s="20">
        <f t="shared" si="4"/>
        <v>0</v>
      </c>
      <c r="P10" s="21">
        <f t="shared" si="5"/>
        <v>-3.4409136047666209</v>
      </c>
      <c r="Q10" s="230">
        <f t="shared" si="6"/>
        <v>0.9564150943396228</v>
      </c>
      <c r="R10" s="573">
        <f>Q13</f>
        <v>0.95605661707021949</v>
      </c>
      <c r="S10" s="49">
        <v>0.20833333333333334</v>
      </c>
      <c r="T10" s="49">
        <v>0.35555555555555557</v>
      </c>
      <c r="U10" s="231"/>
      <c r="V10" s="242">
        <f t="shared" ref="V10:V12" si="13">(T10-S10)*24*60</f>
        <v>212</v>
      </c>
      <c r="W10" s="25"/>
      <c r="X10" s="25"/>
      <c r="Y10" s="25"/>
      <c r="Z10" s="25"/>
      <c r="AA10" s="575"/>
      <c r="AB10" s="575"/>
      <c r="AC10" s="50">
        <v>3</v>
      </c>
      <c r="AD10" s="27"/>
      <c r="AE10" s="20">
        <f t="shared" si="8"/>
        <v>-65.377358490565939</v>
      </c>
      <c r="AF10" s="230">
        <f t="shared" si="9"/>
        <v>0.95641509433962268</v>
      </c>
      <c r="AG10" s="573">
        <f>AF13</f>
        <v>0.95605661707021938</v>
      </c>
    </row>
    <row r="11" spans="1:33" ht="15.75" customHeight="1">
      <c r="A11" s="602" t="s">
        <v>47</v>
      </c>
      <c r="B11" s="39" t="s">
        <v>79</v>
      </c>
      <c r="C11" s="598" t="s">
        <v>81</v>
      </c>
      <c r="D11" s="599"/>
      <c r="E11" s="39">
        <v>39.799999999999997</v>
      </c>
      <c r="F11" s="243">
        <v>4200</v>
      </c>
      <c r="G11" s="231">
        <f t="shared" si="11"/>
        <v>167160</v>
      </c>
      <c r="H11" s="48">
        <v>2</v>
      </c>
      <c r="I11" s="241">
        <v>17</v>
      </c>
      <c r="J11" s="43">
        <v>1500</v>
      </c>
      <c r="K11" s="18">
        <f t="shared" si="1"/>
        <v>88.235294117647058</v>
      </c>
      <c r="L11" s="241">
        <v>17</v>
      </c>
      <c r="M11" s="19">
        <f t="shared" si="12"/>
        <v>1431.8181818181818</v>
      </c>
      <c r="N11" s="18">
        <f t="shared" si="3"/>
        <v>84.224598930481278</v>
      </c>
      <c r="O11" s="20">
        <f t="shared" si="4"/>
        <v>0</v>
      </c>
      <c r="P11" s="21">
        <f t="shared" si="5"/>
        <v>-4.0106951871657799</v>
      </c>
      <c r="Q11" s="230">
        <f t="shared" si="6"/>
        <v>0.95454545454545447</v>
      </c>
      <c r="R11" s="573"/>
      <c r="S11" s="49">
        <v>0.36041666666666666</v>
      </c>
      <c r="T11" s="49">
        <v>0.4826388888888889</v>
      </c>
      <c r="U11" s="231">
        <f t="shared" ref="U11:U12" si="14">IF(S11=TIME(17,0,0),"",(S11-T10)*24*60)</f>
        <v>6.9999999999999751</v>
      </c>
      <c r="V11" s="242">
        <f t="shared" si="13"/>
        <v>176</v>
      </c>
      <c r="W11" s="25">
        <f>T11</f>
        <v>0.4826388888888889</v>
      </c>
      <c r="X11" s="25">
        <f>S12</f>
        <v>0.52222222222222214</v>
      </c>
      <c r="Y11" s="25"/>
      <c r="Z11" s="25"/>
      <c r="AA11" s="575"/>
      <c r="AB11" s="575"/>
      <c r="AC11" s="50"/>
      <c r="AD11" s="27"/>
      <c r="AE11" s="20">
        <f t="shared" si="8"/>
        <v>-68.181818181818244</v>
      </c>
      <c r="AF11" s="230">
        <f t="shared" si="9"/>
        <v>0.95454545454545447</v>
      </c>
      <c r="AG11" s="573"/>
    </row>
    <row r="12" spans="1:33" ht="15.75" customHeight="1">
      <c r="A12" s="602" t="s">
        <v>47</v>
      </c>
      <c r="B12" s="39" t="s">
        <v>79</v>
      </c>
      <c r="C12" s="598" t="s">
        <v>81</v>
      </c>
      <c r="D12" s="599"/>
      <c r="E12" s="39">
        <v>39.799999999999997</v>
      </c>
      <c r="F12" s="243">
        <v>3087</v>
      </c>
      <c r="G12" s="231">
        <f t="shared" si="11"/>
        <v>122862.59999999999</v>
      </c>
      <c r="H12" s="48" t="s">
        <v>126</v>
      </c>
      <c r="I12" s="241">
        <v>17</v>
      </c>
      <c r="J12" s="43">
        <v>1500</v>
      </c>
      <c r="K12" s="18">
        <f t="shared" si="1"/>
        <v>88.235294117647058</v>
      </c>
      <c r="L12" s="241">
        <v>17</v>
      </c>
      <c r="M12" s="19">
        <f t="shared" si="12"/>
        <v>1435.8139534883717</v>
      </c>
      <c r="N12" s="18">
        <f t="shared" si="3"/>
        <v>84.459644322845392</v>
      </c>
      <c r="O12" s="20">
        <f t="shared" si="4"/>
        <v>0</v>
      </c>
      <c r="P12" s="21">
        <f t="shared" si="5"/>
        <v>-3.7756497948016658</v>
      </c>
      <c r="Q12" s="230">
        <f t="shared" si="6"/>
        <v>0.9572093023255811</v>
      </c>
      <c r="R12" s="573"/>
      <c r="S12" s="49">
        <v>0.52222222222222214</v>
      </c>
      <c r="T12" s="49">
        <v>0.61180555555555549</v>
      </c>
      <c r="U12" s="231">
        <f t="shared" si="14"/>
        <v>56.999999999999879</v>
      </c>
      <c r="V12" s="242">
        <f t="shared" si="13"/>
        <v>129.00000000000003</v>
      </c>
      <c r="W12" s="25"/>
      <c r="X12" s="25"/>
      <c r="Y12" s="25"/>
      <c r="Z12" s="25"/>
      <c r="AA12" s="575"/>
      <c r="AB12" s="575"/>
      <c r="AC12" s="50"/>
      <c r="AD12" s="27"/>
      <c r="AE12" s="20">
        <f t="shared" si="8"/>
        <v>-64.186046511628319</v>
      </c>
      <c r="AF12" s="230">
        <f t="shared" si="9"/>
        <v>0.9572093023255811</v>
      </c>
      <c r="AG12" s="573"/>
    </row>
    <row r="13" spans="1:33" ht="16.5" customHeight="1">
      <c r="A13" s="602" t="s">
        <v>47</v>
      </c>
      <c r="B13" s="39" t="s">
        <v>46</v>
      </c>
      <c r="C13" s="576"/>
      <c r="D13" s="576"/>
      <c r="E13" s="236"/>
      <c r="F13" s="43"/>
      <c r="G13" s="19"/>
      <c r="H13" s="243"/>
      <c r="I13" s="32">
        <v>17.666666666666668</v>
      </c>
      <c r="J13" s="43">
        <v>1500</v>
      </c>
      <c r="K13" s="18">
        <f t="shared" si="1"/>
        <v>84.905660377358487</v>
      </c>
      <c r="L13" s="32">
        <v>17.666666666666668</v>
      </c>
      <c r="M13" s="19">
        <f>AVERAGE(M10:M12)</f>
        <v>1434.0849256053291</v>
      </c>
      <c r="N13" s="18">
        <f t="shared" si="3"/>
        <v>81.174618430490327</v>
      </c>
      <c r="O13" s="20">
        <f t="shared" si="4"/>
        <v>0</v>
      </c>
      <c r="P13" s="21">
        <f t="shared" si="5"/>
        <v>-3.7310419468681602</v>
      </c>
      <c r="Q13" s="230">
        <f t="shared" si="6"/>
        <v>0.95605661707021949</v>
      </c>
      <c r="R13" s="573"/>
      <c r="S13" s="49"/>
      <c r="T13" s="49"/>
      <c r="U13" s="18"/>
      <c r="V13" s="242"/>
      <c r="W13" s="18"/>
      <c r="X13" s="18"/>
      <c r="Y13" s="33">
        <f>SUM(Y10:Y12)</f>
        <v>0</v>
      </c>
      <c r="Z13" s="33">
        <f>SUM(Z10:Z12)</f>
        <v>0</v>
      </c>
      <c r="AA13" s="572"/>
      <c r="AB13" s="572"/>
      <c r="AC13" s="33">
        <v>3</v>
      </c>
      <c r="AD13" s="33">
        <f>SUM(AD10:AD12)</f>
        <v>0</v>
      </c>
      <c r="AE13" s="20">
        <f t="shared" si="8"/>
        <v>-65.91507439467091</v>
      </c>
      <c r="AF13" s="230">
        <f t="shared" si="9"/>
        <v>0.95605661707021938</v>
      </c>
      <c r="AG13" s="573"/>
    </row>
    <row r="14" spans="1:33" ht="16.5" customHeight="1">
      <c r="A14" s="600" t="s">
        <v>50</v>
      </c>
      <c r="B14" s="243" t="s">
        <v>82</v>
      </c>
      <c r="C14" s="594" t="s">
        <v>83</v>
      </c>
      <c r="D14" s="594"/>
      <c r="E14" s="39">
        <v>41</v>
      </c>
      <c r="F14" s="243">
        <v>1996</v>
      </c>
      <c r="G14" s="231">
        <f t="shared" ref="G14:G18" si="15">E14*F14</f>
        <v>81836</v>
      </c>
      <c r="H14" s="48" t="s">
        <v>126</v>
      </c>
      <c r="I14" s="241">
        <v>26</v>
      </c>
      <c r="J14" s="43">
        <v>1500</v>
      </c>
      <c r="K14" s="18">
        <f t="shared" si="1"/>
        <v>57.692307692307693</v>
      </c>
      <c r="L14" s="241">
        <v>26</v>
      </c>
      <c r="M14" s="19">
        <f t="shared" ref="M14:M18" si="16">F14/V14*60</f>
        <v>1442.8915662650604</v>
      </c>
      <c r="N14" s="18">
        <f t="shared" si="3"/>
        <v>55.495829471733096</v>
      </c>
      <c r="O14" s="20">
        <f t="shared" si="4"/>
        <v>0</v>
      </c>
      <c r="P14" s="21">
        <f t="shared" si="5"/>
        <v>-2.1964782205745976</v>
      </c>
      <c r="Q14" s="230">
        <f t="shared" si="6"/>
        <v>0.9619277108433737</v>
      </c>
      <c r="R14" s="573">
        <f>Q19</f>
        <v>0.95796018626820212</v>
      </c>
      <c r="S14" s="49">
        <v>0.20833333333333334</v>
      </c>
      <c r="T14" s="49">
        <v>0.26597222222222222</v>
      </c>
      <c r="U14" s="231"/>
      <c r="V14" s="242">
        <f t="shared" ref="V14:V18" si="17">(T14-S14)*24*60</f>
        <v>82.999999999999986</v>
      </c>
      <c r="W14" s="30"/>
      <c r="X14" s="30"/>
      <c r="Y14" s="30"/>
      <c r="Z14" s="30"/>
      <c r="AA14" s="575"/>
      <c r="AB14" s="575"/>
      <c r="AC14" s="50">
        <v>5</v>
      </c>
      <c r="AD14" s="27"/>
      <c r="AE14" s="20">
        <f t="shared" si="8"/>
        <v>-57.108433734939581</v>
      </c>
      <c r="AF14" s="230">
        <f t="shared" si="9"/>
        <v>0.96192771084337358</v>
      </c>
      <c r="AG14" s="573">
        <f>AF19</f>
        <v>0.95796018626820212</v>
      </c>
    </row>
    <row r="15" spans="1:33" ht="16.5" customHeight="1">
      <c r="A15" s="601" t="s">
        <v>50</v>
      </c>
      <c r="B15" s="243" t="s">
        <v>94</v>
      </c>
      <c r="C15" s="594" t="s">
        <v>1231</v>
      </c>
      <c r="D15" s="594"/>
      <c r="E15" s="39">
        <v>25.99</v>
      </c>
      <c r="F15" s="243">
        <v>5000</v>
      </c>
      <c r="G15" s="231">
        <f t="shared" si="15"/>
        <v>129949.99999999999</v>
      </c>
      <c r="H15" s="48">
        <v>2</v>
      </c>
      <c r="I15" s="241">
        <v>19</v>
      </c>
      <c r="J15" s="43">
        <v>2400</v>
      </c>
      <c r="K15" s="18">
        <f t="shared" si="1"/>
        <v>126.31578947368421</v>
      </c>
      <c r="L15" s="241">
        <v>19</v>
      </c>
      <c r="M15" s="19">
        <f t="shared" si="16"/>
        <v>2290.0763358778627</v>
      </c>
      <c r="N15" s="18">
        <f t="shared" si="3"/>
        <v>120.53033346725593</v>
      </c>
      <c r="O15" s="20">
        <f t="shared" si="4"/>
        <v>0</v>
      </c>
      <c r="P15" s="21">
        <f t="shared" si="5"/>
        <v>-5.7854560064282765</v>
      </c>
      <c r="Q15" s="230">
        <f t="shared" si="6"/>
        <v>0.95419847328244278</v>
      </c>
      <c r="R15" s="573"/>
      <c r="S15" s="49">
        <v>0.27013888888888887</v>
      </c>
      <c r="T15" s="49">
        <v>0.3611111111111111</v>
      </c>
      <c r="U15" s="231">
        <f t="shared" ref="U15:U18" si="18">IF(S15=TIME(17,0,0),"",(S15-T14)*24*60)</f>
        <v>5.9999999999999787</v>
      </c>
      <c r="V15" s="242">
        <f t="shared" si="17"/>
        <v>131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-109.92366412213732</v>
      </c>
      <c r="AF15" s="230">
        <f t="shared" si="9"/>
        <v>0.95419847328244278</v>
      </c>
      <c r="AG15" s="573"/>
    </row>
    <row r="16" spans="1:33" ht="16.5" customHeight="1">
      <c r="A16" s="601" t="s">
        <v>50</v>
      </c>
      <c r="B16" s="243" t="s">
        <v>74</v>
      </c>
      <c r="C16" s="594" t="s">
        <v>85</v>
      </c>
      <c r="D16" s="594"/>
      <c r="E16" s="39">
        <v>53.68</v>
      </c>
      <c r="F16" s="243">
        <v>1321</v>
      </c>
      <c r="G16" s="231">
        <f t="shared" si="15"/>
        <v>70911.28</v>
      </c>
      <c r="H16" s="48" t="s">
        <v>126</v>
      </c>
      <c r="I16" s="241">
        <v>16</v>
      </c>
      <c r="J16" s="43">
        <v>1500</v>
      </c>
      <c r="K16" s="18">
        <f t="shared" si="1"/>
        <v>93.75</v>
      </c>
      <c r="L16" s="241">
        <v>16</v>
      </c>
      <c r="M16" s="19">
        <f t="shared" si="16"/>
        <v>1441.0909090909099</v>
      </c>
      <c r="N16" s="18">
        <f t="shared" si="3"/>
        <v>90.06818181818187</v>
      </c>
      <c r="O16" s="20">
        <f t="shared" si="4"/>
        <v>0</v>
      </c>
      <c r="P16" s="21">
        <f t="shared" si="5"/>
        <v>-3.6818181818181301</v>
      </c>
      <c r="Q16" s="230">
        <f t="shared" si="6"/>
        <v>0.96072727272727332</v>
      </c>
      <c r="R16" s="573"/>
      <c r="S16" s="49">
        <v>0.70833333333333337</v>
      </c>
      <c r="T16" s="49">
        <v>0.74652777777777779</v>
      </c>
      <c r="U16" s="231" t="str">
        <f t="shared" si="18"/>
        <v/>
      </c>
      <c r="V16" s="242">
        <f t="shared" si="17"/>
        <v>54.999999999999964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-58.909090909090082</v>
      </c>
      <c r="AF16" s="230">
        <f t="shared" si="9"/>
        <v>0.96072727272727332</v>
      </c>
      <c r="AG16" s="573"/>
    </row>
    <row r="17" spans="1:33" ht="16.5" customHeight="1">
      <c r="A17" s="601" t="s">
        <v>50</v>
      </c>
      <c r="B17" s="243" t="s">
        <v>74</v>
      </c>
      <c r="C17" s="594" t="s">
        <v>86</v>
      </c>
      <c r="D17" s="594"/>
      <c r="E17" s="39">
        <v>50.92</v>
      </c>
      <c r="F17" s="243">
        <v>2505</v>
      </c>
      <c r="G17" s="231">
        <f t="shared" si="15"/>
        <v>127554.6</v>
      </c>
      <c r="H17" s="48" t="s">
        <v>126</v>
      </c>
      <c r="I17" s="241">
        <v>15</v>
      </c>
      <c r="J17" s="43">
        <v>2000</v>
      </c>
      <c r="K17" s="18">
        <f t="shared" si="1"/>
        <v>133.33333333333334</v>
      </c>
      <c r="L17" s="241">
        <v>15</v>
      </c>
      <c r="M17" s="19">
        <f t="shared" si="16"/>
        <v>1902.5316455696193</v>
      </c>
      <c r="N17" s="18">
        <f t="shared" si="3"/>
        <v>126.83544303797461</v>
      </c>
      <c r="O17" s="20">
        <f t="shared" si="4"/>
        <v>0</v>
      </c>
      <c r="P17" s="21">
        <f t="shared" si="5"/>
        <v>-6.4978902953587294</v>
      </c>
      <c r="Q17" s="230">
        <f t="shared" si="6"/>
        <v>0.95126582278480953</v>
      </c>
      <c r="R17" s="573"/>
      <c r="S17" s="49">
        <v>0.75069444444444444</v>
      </c>
      <c r="T17" s="49">
        <v>0.80555555555555558</v>
      </c>
      <c r="U17" s="231">
        <f t="shared" si="18"/>
        <v>5.9999999999999787</v>
      </c>
      <c r="V17" s="242">
        <f t="shared" si="17"/>
        <v>79.000000000000043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-97.468354430380714</v>
      </c>
      <c r="AF17" s="230">
        <f t="shared" si="9"/>
        <v>0.95126582278480964</v>
      </c>
      <c r="AG17" s="573"/>
    </row>
    <row r="18" spans="1:33" ht="16.5" customHeight="1">
      <c r="A18" s="601" t="s">
        <v>50</v>
      </c>
      <c r="B18" s="243" t="s">
        <v>74</v>
      </c>
      <c r="C18" s="594" t="s">
        <v>87</v>
      </c>
      <c r="D18" s="594"/>
      <c r="E18" s="39">
        <v>57.3</v>
      </c>
      <c r="F18" s="243">
        <v>1639</v>
      </c>
      <c r="G18" s="231">
        <f t="shared" si="15"/>
        <v>93914.7</v>
      </c>
      <c r="H18" s="48" t="s">
        <v>126</v>
      </c>
      <c r="I18" s="241">
        <v>13</v>
      </c>
      <c r="J18" s="43">
        <v>2000</v>
      </c>
      <c r="K18" s="18">
        <f t="shared" si="1"/>
        <v>153.84615384615384</v>
      </c>
      <c r="L18" s="241">
        <v>13</v>
      </c>
      <c r="M18" s="19">
        <f t="shared" si="16"/>
        <v>1928.2352941176478</v>
      </c>
      <c r="N18" s="18">
        <f t="shared" si="3"/>
        <v>148.32579185520368</v>
      </c>
      <c r="O18" s="20">
        <f t="shared" si="4"/>
        <v>0</v>
      </c>
      <c r="P18" s="21">
        <f t="shared" si="5"/>
        <v>-5.520361990950164</v>
      </c>
      <c r="Q18" s="230">
        <f t="shared" si="6"/>
        <v>0.96411764705882397</v>
      </c>
      <c r="R18" s="573"/>
      <c r="S18" s="49">
        <v>0.80902777777777779</v>
      </c>
      <c r="T18" s="49">
        <v>0.84444444444444444</v>
      </c>
      <c r="U18" s="231">
        <f t="shared" si="18"/>
        <v>4.9999999999999822</v>
      </c>
      <c r="V18" s="242">
        <f t="shared" si="17"/>
        <v>50.999999999999979</v>
      </c>
      <c r="W18" s="25"/>
      <c r="X18" s="25"/>
      <c r="Y18" s="25"/>
      <c r="Z18" s="25"/>
      <c r="AA18" s="575"/>
      <c r="AB18" s="575"/>
      <c r="AC18" s="50"/>
      <c r="AD18" s="27"/>
      <c r="AE18" s="20">
        <f t="shared" si="8"/>
        <v>-71.764705882352246</v>
      </c>
      <c r="AF18" s="230">
        <f t="shared" si="9"/>
        <v>0.96411764705882386</v>
      </c>
      <c r="AG18" s="573"/>
    </row>
    <row r="19" spans="1:33" ht="16.5" customHeight="1">
      <c r="A19" s="601" t="s">
        <v>50</v>
      </c>
      <c r="B19" s="39" t="s">
        <v>46</v>
      </c>
      <c r="C19" s="576"/>
      <c r="D19" s="576"/>
      <c r="E19" s="236"/>
      <c r="F19" s="42"/>
      <c r="G19" s="18"/>
      <c r="H19" s="243"/>
      <c r="I19" s="32">
        <v>17.8</v>
      </c>
      <c r="J19" s="43">
        <v>1880</v>
      </c>
      <c r="K19" s="18">
        <f t="shared" si="1"/>
        <v>105.61797752808988</v>
      </c>
      <c r="L19" s="32">
        <v>17.8</v>
      </c>
      <c r="M19" s="19">
        <f>AVERAGE(M14:M18)</f>
        <v>1800.96515018422</v>
      </c>
      <c r="N19" s="18">
        <f t="shared" si="3"/>
        <v>101.17781742607977</v>
      </c>
      <c r="O19" s="20">
        <f t="shared" si="4"/>
        <v>0</v>
      </c>
      <c r="P19" s="21">
        <f t="shared" si="5"/>
        <v>-4.4401601020101111</v>
      </c>
      <c r="Q19" s="230">
        <f t="shared" si="6"/>
        <v>0.95796018626820212</v>
      </c>
      <c r="R19" s="573"/>
      <c r="S19" s="49"/>
      <c r="T19" s="49"/>
      <c r="U19" s="231"/>
      <c r="V19" s="242"/>
      <c r="W19" s="18"/>
      <c r="X19" s="18"/>
      <c r="Y19" s="33">
        <f>SUM(Y14:Y18)</f>
        <v>0</v>
      </c>
      <c r="Z19" s="33">
        <f>SUM(Z14:Z18)</f>
        <v>0</v>
      </c>
      <c r="AA19" s="572"/>
      <c r="AB19" s="572"/>
      <c r="AC19" s="33">
        <v>5</v>
      </c>
      <c r="AD19" s="33">
        <f>SUM(AD14:AD18)</f>
        <v>0</v>
      </c>
      <c r="AE19" s="20">
        <f t="shared" si="8"/>
        <v>-79.034849815780035</v>
      </c>
      <c r="AF19" s="230">
        <f t="shared" si="9"/>
        <v>0.95796018626820212</v>
      </c>
      <c r="AG19" s="573"/>
    </row>
    <row r="20" spans="1:33" ht="15.75" customHeight="1">
      <c r="A20" s="596" t="s">
        <v>53</v>
      </c>
      <c r="B20" s="39" t="s">
        <v>74</v>
      </c>
      <c r="C20" s="594" t="s">
        <v>84</v>
      </c>
      <c r="D20" s="594"/>
      <c r="E20" s="39">
        <v>54.09</v>
      </c>
      <c r="F20" s="243">
        <v>2342</v>
      </c>
      <c r="G20" s="231">
        <f t="shared" ref="G20:G25" si="19">E20*F20</f>
        <v>126678.78000000001</v>
      </c>
      <c r="H20" s="48" t="s">
        <v>126</v>
      </c>
      <c r="I20" s="241">
        <v>17</v>
      </c>
      <c r="J20" s="43">
        <v>1500</v>
      </c>
      <c r="K20" s="18">
        <f t="shared" si="1"/>
        <v>88.235294117647058</v>
      </c>
      <c r="L20" s="241">
        <v>17</v>
      </c>
      <c r="M20" s="19">
        <f t="shared" ref="M20:M25" si="20">F20/V20*60</f>
        <v>1433.8775510204077</v>
      </c>
      <c r="N20" s="18">
        <f t="shared" si="3"/>
        <v>84.3457382953181</v>
      </c>
      <c r="O20" s="20">
        <f t="shared" si="4"/>
        <v>0</v>
      </c>
      <c r="P20" s="21">
        <f t="shared" si="5"/>
        <v>-3.8895558223289584</v>
      </c>
      <c r="Q20" s="230">
        <f t="shared" si="6"/>
        <v>0.95591836734693847</v>
      </c>
      <c r="R20" s="573">
        <f>Q26</f>
        <v>0.95949726988536599</v>
      </c>
      <c r="S20" s="49">
        <v>0.20833333333333334</v>
      </c>
      <c r="T20" s="49">
        <v>0.27638888888888891</v>
      </c>
      <c r="U20" s="231"/>
      <c r="V20" s="242">
        <f t="shared" ref="V20:V25" si="21">(T20-S20)*24*60</f>
        <v>98.000000000000014</v>
      </c>
      <c r="W20" s="30"/>
      <c r="X20" s="30"/>
      <c r="Y20" s="30"/>
      <c r="Z20" s="30"/>
      <c r="AA20" s="575"/>
      <c r="AB20" s="575"/>
      <c r="AC20" s="50">
        <v>6</v>
      </c>
      <c r="AD20" s="27"/>
      <c r="AE20" s="20">
        <f t="shared" si="8"/>
        <v>-66.122448979592264</v>
      </c>
      <c r="AF20" s="230">
        <f t="shared" si="9"/>
        <v>0.95591836734693847</v>
      </c>
      <c r="AG20" s="573">
        <f>AF26</f>
        <v>0.95949726988536599</v>
      </c>
    </row>
    <row r="21" spans="1:33" ht="15.75" customHeight="1">
      <c r="A21" s="597" t="s">
        <v>53</v>
      </c>
      <c r="B21" s="39" t="s">
        <v>74</v>
      </c>
      <c r="C21" s="594" t="s">
        <v>89</v>
      </c>
      <c r="D21" s="594"/>
      <c r="E21" s="39">
        <v>50.67</v>
      </c>
      <c r="F21" s="243">
        <v>2247</v>
      </c>
      <c r="G21" s="231">
        <f t="shared" si="19"/>
        <v>113855.49</v>
      </c>
      <c r="H21" s="48" t="s">
        <v>126</v>
      </c>
      <c r="I21" s="241">
        <v>17</v>
      </c>
      <c r="J21" s="43">
        <v>2000</v>
      </c>
      <c r="K21" s="18">
        <f t="shared" si="1"/>
        <v>117.64705882352941</v>
      </c>
      <c r="L21" s="241">
        <v>17</v>
      </c>
      <c r="M21" s="19">
        <f t="shared" si="20"/>
        <v>1926.0000000000005</v>
      </c>
      <c r="N21" s="18">
        <f t="shared" si="3"/>
        <v>113.29411764705885</v>
      </c>
      <c r="O21" s="20">
        <f t="shared" si="4"/>
        <v>0</v>
      </c>
      <c r="P21" s="21">
        <f t="shared" si="5"/>
        <v>-4.3529411764705515</v>
      </c>
      <c r="Q21" s="230">
        <f t="shared" si="6"/>
        <v>0.9630000000000003</v>
      </c>
      <c r="R21" s="573"/>
      <c r="S21" s="49">
        <v>0.28194444444444444</v>
      </c>
      <c r="T21" s="49">
        <v>0.33055555555555555</v>
      </c>
      <c r="U21" s="231">
        <f t="shared" ref="U21:U25" si="22">IF(S21=TIME(17,0,0),"",(S21-T20)*24*60)</f>
        <v>7.9999999999999716</v>
      </c>
      <c r="V21" s="242">
        <f t="shared" si="21"/>
        <v>69.999999999999986</v>
      </c>
      <c r="W21" s="25"/>
      <c r="X21" s="231"/>
      <c r="Y21" s="231"/>
      <c r="Z21" s="231"/>
      <c r="AA21" s="575"/>
      <c r="AB21" s="575"/>
      <c r="AC21" s="50"/>
      <c r="AD21" s="27"/>
      <c r="AE21" s="20">
        <f t="shared" si="8"/>
        <v>-73.999999999999545</v>
      </c>
      <c r="AF21" s="230">
        <f t="shared" si="9"/>
        <v>0.96300000000000019</v>
      </c>
      <c r="AG21" s="573"/>
    </row>
    <row r="22" spans="1:33" ht="15.75" customHeight="1">
      <c r="A22" s="597" t="s">
        <v>53</v>
      </c>
      <c r="B22" s="39" t="s">
        <v>74</v>
      </c>
      <c r="C22" s="594" t="s">
        <v>90</v>
      </c>
      <c r="D22" s="594"/>
      <c r="E22" s="39">
        <v>57.73</v>
      </c>
      <c r="F22" s="243">
        <v>2537</v>
      </c>
      <c r="G22" s="231">
        <f t="shared" si="19"/>
        <v>146461.00999999998</v>
      </c>
      <c r="H22" s="48" t="s">
        <v>126</v>
      </c>
      <c r="I22" s="241">
        <v>14</v>
      </c>
      <c r="J22" s="43">
        <v>2000</v>
      </c>
      <c r="K22" s="18">
        <f t="shared" si="1"/>
        <v>142.85714285714286</v>
      </c>
      <c r="L22" s="241">
        <v>14</v>
      </c>
      <c r="M22" s="19">
        <f t="shared" si="20"/>
        <v>1926.8354430379759</v>
      </c>
      <c r="N22" s="18">
        <f t="shared" si="3"/>
        <v>137.63110307414112</v>
      </c>
      <c r="O22" s="20">
        <f t="shared" si="4"/>
        <v>0</v>
      </c>
      <c r="P22" s="21">
        <f t="shared" si="5"/>
        <v>-5.2260397830017382</v>
      </c>
      <c r="Q22" s="230">
        <f t="shared" si="6"/>
        <v>0.96341772151898786</v>
      </c>
      <c r="R22" s="573"/>
      <c r="S22" s="49">
        <v>0.3347222222222222</v>
      </c>
      <c r="T22" s="49">
        <v>0.38958333333333328</v>
      </c>
      <c r="U22" s="231">
        <f t="shared" si="22"/>
        <v>5.9999999999999787</v>
      </c>
      <c r="V22" s="242">
        <f t="shared" si="21"/>
        <v>78.999999999999957</v>
      </c>
      <c r="W22" s="25"/>
      <c r="X22" s="231"/>
      <c r="Y22" s="231"/>
      <c r="Z22" s="231"/>
      <c r="AA22" s="575"/>
      <c r="AB22" s="575"/>
      <c r="AC22" s="50"/>
      <c r="AD22" s="27"/>
      <c r="AE22" s="20">
        <f t="shared" si="8"/>
        <v>-73.164556962024108</v>
      </c>
      <c r="AF22" s="230">
        <f t="shared" si="9"/>
        <v>0.96341772151898797</v>
      </c>
      <c r="AG22" s="573"/>
    </row>
    <row r="23" spans="1:33" ht="15.75" customHeight="1">
      <c r="A23" s="597" t="s">
        <v>1288</v>
      </c>
      <c r="B23" s="39" t="s">
        <v>74</v>
      </c>
      <c r="C23" s="594" t="s">
        <v>1232</v>
      </c>
      <c r="D23" s="594"/>
      <c r="E23" s="39">
        <v>53.27</v>
      </c>
      <c r="F23" s="243">
        <v>5317</v>
      </c>
      <c r="G23" s="231">
        <f t="shared" si="19"/>
        <v>283236.59000000003</v>
      </c>
      <c r="H23" s="48" t="s">
        <v>126</v>
      </c>
      <c r="I23" s="241">
        <v>16</v>
      </c>
      <c r="J23" s="43">
        <v>2000</v>
      </c>
      <c r="K23" s="18">
        <f t="shared" si="1"/>
        <v>125</v>
      </c>
      <c r="L23" s="241">
        <v>16</v>
      </c>
      <c r="M23" s="19">
        <f t="shared" si="20"/>
        <v>1910.2994011976041</v>
      </c>
      <c r="N23" s="18">
        <f t="shared" si="3"/>
        <v>119.39371257485026</v>
      </c>
      <c r="O23" s="20">
        <f t="shared" si="4"/>
        <v>0</v>
      </c>
      <c r="P23" s="21">
        <f t="shared" si="5"/>
        <v>-5.6062874251497448</v>
      </c>
      <c r="Q23" s="230">
        <f t="shared" si="6"/>
        <v>0.955149700598802</v>
      </c>
      <c r="R23" s="573"/>
      <c r="S23" s="49">
        <v>0.39305555555555549</v>
      </c>
      <c r="T23" s="49">
        <v>0.50902777777777775</v>
      </c>
      <c r="U23" s="231">
        <f t="shared" si="22"/>
        <v>4.9999999999999822</v>
      </c>
      <c r="V23" s="242">
        <f t="shared" si="21"/>
        <v>167.00000000000006</v>
      </c>
      <c r="W23" s="25"/>
      <c r="X23" s="231"/>
      <c r="Y23" s="231"/>
      <c r="Z23" s="231"/>
      <c r="AA23" s="575"/>
      <c r="AB23" s="575"/>
      <c r="AC23" s="50"/>
      <c r="AD23" s="27"/>
      <c r="AE23" s="20">
        <f t="shared" si="8"/>
        <v>-89.700598802395916</v>
      </c>
      <c r="AF23" s="230">
        <f t="shared" si="9"/>
        <v>0.955149700598802</v>
      </c>
      <c r="AG23" s="573"/>
    </row>
    <row r="24" spans="1:33" ht="15.75" customHeight="1">
      <c r="A24" s="597" t="s">
        <v>53</v>
      </c>
      <c r="B24" s="39" t="s">
        <v>74</v>
      </c>
      <c r="C24" s="594" t="s">
        <v>92</v>
      </c>
      <c r="D24" s="594"/>
      <c r="E24" s="39">
        <v>50.49</v>
      </c>
      <c r="F24" s="243">
        <v>2121</v>
      </c>
      <c r="G24" s="231">
        <f t="shared" si="19"/>
        <v>107089.29000000001</v>
      </c>
      <c r="H24" s="48" t="s">
        <v>126</v>
      </c>
      <c r="I24" s="241">
        <v>15</v>
      </c>
      <c r="J24" s="43">
        <v>2000</v>
      </c>
      <c r="K24" s="18">
        <f t="shared" si="1"/>
        <v>133.33333333333334</v>
      </c>
      <c r="L24" s="241">
        <v>15</v>
      </c>
      <c r="M24" s="19">
        <f t="shared" si="20"/>
        <v>1928.1818181818201</v>
      </c>
      <c r="N24" s="18">
        <f t="shared" si="3"/>
        <v>128.54545454545467</v>
      </c>
      <c r="O24" s="20">
        <f t="shared" si="4"/>
        <v>0</v>
      </c>
      <c r="P24" s="21">
        <f t="shared" si="5"/>
        <v>-4.7878787878786682</v>
      </c>
      <c r="Q24" s="230">
        <f t="shared" si="6"/>
        <v>0.96409090909091</v>
      </c>
      <c r="R24" s="573"/>
      <c r="S24" s="49">
        <v>0.70833333333333337</v>
      </c>
      <c r="T24" s="49">
        <v>0.75416666666666665</v>
      </c>
      <c r="U24" s="231" t="str">
        <f t="shared" si="22"/>
        <v/>
      </c>
      <c r="V24" s="242">
        <f t="shared" si="21"/>
        <v>65.999999999999929</v>
      </c>
      <c r="W24" s="25"/>
      <c r="X24" s="25"/>
      <c r="Y24" s="231"/>
      <c r="Z24" s="231"/>
      <c r="AA24" s="575"/>
      <c r="AB24" s="575"/>
      <c r="AC24" s="50"/>
      <c r="AD24" s="27"/>
      <c r="AE24" s="20">
        <f t="shared" si="8"/>
        <v>-71.818181818179937</v>
      </c>
      <c r="AF24" s="230">
        <f t="shared" si="9"/>
        <v>0.96409090909091</v>
      </c>
      <c r="AG24" s="573"/>
    </row>
    <row r="25" spans="1:33" ht="15.75" customHeight="1">
      <c r="A25" s="597" t="s">
        <v>53</v>
      </c>
      <c r="B25" s="39" t="s">
        <v>74</v>
      </c>
      <c r="C25" s="594" t="s">
        <v>93</v>
      </c>
      <c r="D25" s="594"/>
      <c r="E25" s="39">
        <v>50.98</v>
      </c>
      <c r="F25" s="243">
        <v>2609</v>
      </c>
      <c r="G25" s="231">
        <f t="shared" si="19"/>
        <v>133006.81999999998</v>
      </c>
      <c r="H25" s="48" t="s">
        <v>126</v>
      </c>
      <c r="I25" s="241">
        <v>16</v>
      </c>
      <c r="J25" s="43">
        <v>2000</v>
      </c>
      <c r="K25" s="18">
        <f t="shared" si="1"/>
        <v>125</v>
      </c>
      <c r="L25" s="241">
        <v>16</v>
      </c>
      <c r="M25" s="19">
        <f t="shared" si="20"/>
        <v>1909.0243902439017</v>
      </c>
      <c r="N25" s="18">
        <f t="shared" si="3"/>
        <v>119.31402439024386</v>
      </c>
      <c r="O25" s="20">
        <f t="shared" si="4"/>
        <v>0</v>
      </c>
      <c r="P25" s="21">
        <f t="shared" si="5"/>
        <v>-5.6859756097561416</v>
      </c>
      <c r="Q25" s="230">
        <f t="shared" si="6"/>
        <v>0.95451219512195085</v>
      </c>
      <c r="R25" s="573"/>
      <c r="S25" s="49">
        <v>0.75763888888888886</v>
      </c>
      <c r="T25" s="49">
        <v>0.81458333333333333</v>
      </c>
      <c r="U25" s="231">
        <f t="shared" si="22"/>
        <v>4.9999999999999822</v>
      </c>
      <c r="V25" s="242">
        <f t="shared" si="21"/>
        <v>82.000000000000028</v>
      </c>
      <c r="W25" s="25"/>
      <c r="X25" s="30"/>
      <c r="Y25" s="30"/>
      <c r="Z25" s="30"/>
      <c r="AA25" s="575"/>
      <c r="AB25" s="575"/>
      <c r="AC25" s="50"/>
      <c r="AD25" s="27"/>
      <c r="AE25" s="20">
        <f t="shared" si="8"/>
        <v>-90.975609756098265</v>
      </c>
      <c r="AF25" s="230">
        <f t="shared" si="9"/>
        <v>0.95451219512195085</v>
      </c>
      <c r="AG25" s="573"/>
    </row>
    <row r="26" spans="1:33" ht="15.75" customHeight="1">
      <c r="A26" s="597" t="s">
        <v>53</v>
      </c>
      <c r="B26" s="39" t="s">
        <v>46</v>
      </c>
      <c r="C26" s="576"/>
      <c r="D26" s="576"/>
      <c r="E26" s="236"/>
      <c r="F26" s="243"/>
      <c r="G26" s="231"/>
      <c r="H26" s="243"/>
      <c r="I26" s="32">
        <v>15.833333333333334</v>
      </c>
      <c r="J26" s="43">
        <v>1916.6666666666667</v>
      </c>
      <c r="K26" s="18">
        <f t="shared" si="1"/>
        <v>121.05263157894737</v>
      </c>
      <c r="L26" s="32">
        <v>15.833333333333334</v>
      </c>
      <c r="M26" s="19">
        <f>AVERAGE(M20:M25)</f>
        <v>1839.0364339469515</v>
      </c>
      <c r="N26" s="18">
        <f t="shared" si="3"/>
        <v>116.14966951243905</v>
      </c>
      <c r="O26" s="20">
        <f t="shared" si="4"/>
        <v>0</v>
      </c>
      <c r="P26" s="21">
        <f t="shared" si="5"/>
        <v>-4.9029620665083229</v>
      </c>
      <c r="Q26" s="230">
        <f t="shared" si="6"/>
        <v>0.95949726988536599</v>
      </c>
      <c r="R26" s="573"/>
      <c r="S26" s="49"/>
      <c r="T26" s="49"/>
      <c r="U26" s="18"/>
      <c r="V26" s="242"/>
      <c r="W26" s="18"/>
      <c r="X26" s="18"/>
      <c r="Y26" s="33">
        <f>SUM(Y20:Y25)</f>
        <v>0</v>
      </c>
      <c r="Z26" s="33">
        <f>SUM(Z20:Z25)</f>
        <v>0</v>
      </c>
      <c r="AA26" s="572"/>
      <c r="AB26" s="572"/>
      <c r="AC26" s="33">
        <v>6</v>
      </c>
      <c r="AD26" s="33">
        <f>SUM(AD20:AD25)</f>
        <v>0</v>
      </c>
      <c r="AE26" s="20">
        <f t="shared" si="8"/>
        <v>-77.630232719715195</v>
      </c>
      <c r="AF26" s="230">
        <f t="shared" si="9"/>
        <v>0.95949726988536599</v>
      </c>
      <c r="AG26" s="573"/>
    </row>
    <row r="27" spans="1:33" ht="15.75" customHeight="1">
      <c r="A27" s="595" t="s">
        <v>56</v>
      </c>
      <c r="B27" s="39" t="s">
        <v>94</v>
      </c>
      <c r="C27" s="594" t="s">
        <v>95</v>
      </c>
      <c r="D27" s="594"/>
      <c r="E27" s="39">
        <v>31.29</v>
      </c>
      <c r="F27" s="243">
        <v>7000</v>
      </c>
      <c r="G27" s="231">
        <f t="shared" ref="G27:G35" si="23">E27*F27</f>
        <v>219030</v>
      </c>
      <c r="H27" s="48">
        <v>2</v>
      </c>
      <c r="I27" s="241">
        <v>18</v>
      </c>
      <c r="J27" s="43">
        <v>2400</v>
      </c>
      <c r="K27" s="18">
        <f t="shared" si="1"/>
        <v>133.33333333333334</v>
      </c>
      <c r="L27" s="241">
        <v>18</v>
      </c>
      <c r="M27" s="19">
        <f t="shared" ref="M27:M35" si="24">F27/V27*60</f>
        <v>2282.6086956521735</v>
      </c>
      <c r="N27" s="18">
        <f t="shared" si="3"/>
        <v>126.81159420289853</v>
      </c>
      <c r="O27" s="20">
        <f t="shared" si="4"/>
        <v>0</v>
      </c>
      <c r="P27" s="21">
        <f t="shared" si="5"/>
        <v>-6.5217391304348098</v>
      </c>
      <c r="Q27" s="230">
        <f t="shared" si="6"/>
        <v>0.95108695652173891</v>
      </c>
      <c r="R27" s="573">
        <f>Q36</f>
        <v>0.95549985316160002</v>
      </c>
      <c r="S27" s="49">
        <v>8.3333333333333329E-2</v>
      </c>
      <c r="T27" s="49">
        <v>0.21111111111111114</v>
      </c>
      <c r="U27" s="231"/>
      <c r="V27" s="242">
        <f t="shared" ref="V27:V35" si="25">(T27-S27)*24*60</f>
        <v>184.00000000000006</v>
      </c>
      <c r="W27" s="25">
        <f>T27</f>
        <v>0.21111111111111114</v>
      </c>
      <c r="X27" s="25">
        <f>S28</f>
        <v>0.23263888888888892</v>
      </c>
      <c r="Y27" s="25"/>
      <c r="Z27" s="25"/>
      <c r="AA27" s="575"/>
      <c r="AB27" s="575"/>
      <c r="AC27" s="50">
        <v>9</v>
      </c>
      <c r="AD27" s="27"/>
      <c r="AE27" s="20">
        <f t="shared" si="8"/>
        <v>-117.39130434782646</v>
      </c>
      <c r="AF27" s="230">
        <f t="shared" si="9"/>
        <v>0.95108695652173902</v>
      </c>
      <c r="AG27" s="573">
        <f>AF36</f>
        <v>0.95549985316160002</v>
      </c>
    </row>
    <row r="28" spans="1:33" ht="15.75" customHeight="1">
      <c r="A28" s="595" t="s">
        <v>56</v>
      </c>
      <c r="B28" s="39" t="s">
        <v>94</v>
      </c>
      <c r="C28" s="594" t="s">
        <v>97</v>
      </c>
      <c r="D28" s="594"/>
      <c r="E28" s="39">
        <v>26.37</v>
      </c>
      <c r="F28" s="243">
        <v>4300</v>
      </c>
      <c r="G28" s="231">
        <f t="shared" si="23"/>
        <v>113391</v>
      </c>
      <c r="H28" s="48">
        <v>2</v>
      </c>
      <c r="I28" s="241">
        <v>18</v>
      </c>
      <c r="J28" s="43">
        <v>2400</v>
      </c>
      <c r="K28" s="18">
        <f t="shared" si="1"/>
        <v>133.33333333333334</v>
      </c>
      <c r="L28" s="241">
        <v>18</v>
      </c>
      <c r="M28" s="19">
        <f t="shared" si="24"/>
        <v>2303.5714285714298</v>
      </c>
      <c r="N28" s="18">
        <f t="shared" si="3"/>
        <v>127.97619047619054</v>
      </c>
      <c r="O28" s="20">
        <f t="shared" si="4"/>
        <v>0</v>
      </c>
      <c r="P28" s="21">
        <f t="shared" si="5"/>
        <v>-5.3571428571428044</v>
      </c>
      <c r="Q28" s="230">
        <f t="shared" si="6"/>
        <v>0.95982142857142894</v>
      </c>
      <c r="R28" s="573"/>
      <c r="S28" s="49">
        <v>0.23263888888888892</v>
      </c>
      <c r="T28" s="49">
        <v>0.31041666666666667</v>
      </c>
      <c r="U28" s="231">
        <f t="shared" ref="U28:U35" si="26">(S28-T27)*24*60</f>
        <v>31.000000000000011</v>
      </c>
      <c r="V28" s="242">
        <f t="shared" si="25"/>
        <v>111.99999999999996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-96.428571428570194</v>
      </c>
      <c r="AF28" s="230">
        <f t="shared" si="9"/>
        <v>0.95982142857142905</v>
      </c>
      <c r="AG28" s="573"/>
    </row>
    <row r="29" spans="1:33" ht="15.75" customHeight="1">
      <c r="A29" s="595" t="s">
        <v>56</v>
      </c>
      <c r="B29" s="39" t="s">
        <v>94</v>
      </c>
      <c r="C29" s="594" t="s">
        <v>98</v>
      </c>
      <c r="D29" s="594"/>
      <c r="E29" s="39">
        <v>25.99</v>
      </c>
      <c r="F29" s="243">
        <v>2900</v>
      </c>
      <c r="G29" s="231">
        <f t="shared" si="23"/>
        <v>75371</v>
      </c>
      <c r="H29" s="48">
        <v>2</v>
      </c>
      <c r="I29" s="241">
        <v>14</v>
      </c>
      <c r="J29" s="43">
        <v>2400</v>
      </c>
      <c r="K29" s="18">
        <f t="shared" si="1"/>
        <v>171.42857142857142</v>
      </c>
      <c r="L29" s="241">
        <v>14</v>
      </c>
      <c r="M29" s="19">
        <f t="shared" si="24"/>
        <v>2289.4736842105272</v>
      </c>
      <c r="N29" s="18">
        <f t="shared" si="3"/>
        <v>163.53383458646621</v>
      </c>
      <c r="O29" s="20">
        <f t="shared" si="4"/>
        <v>0</v>
      </c>
      <c r="P29" s="21">
        <f t="shared" si="5"/>
        <v>-7.8947368421052033</v>
      </c>
      <c r="Q29" s="230">
        <f t="shared" si="6"/>
        <v>0.95394736842105299</v>
      </c>
      <c r="R29" s="573"/>
      <c r="S29" s="49">
        <v>0.31388888888888888</v>
      </c>
      <c r="T29" s="49">
        <v>0.36666666666666664</v>
      </c>
      <c r="U29" s="231">
        <f t="shared" si="26"/>
        <v>4.9999999999999822</v>
      </c>
      <c r="V29" s="242">
        <f t="shared" si="25"/>
        <v>75.999999999999972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-110.52631578947285</v>
      </c>
      <c r="AF29" s="230">
        <f t="shared" si="9"/>
        <v>0.95394736842105299</v>
      </c>
      <c r="AG29" s="573"/>
    </row>
    <row r="30" spans="1:33" ht="15.75" customHeight="1">
      <c r="A30" s="595" t="s">
        <v>56</v>
      </c>
      <c r="B30" s="39" t="s">
        <v>94</v>
      </c>
      <c r="C30" s="594" t="s">
        <v>103</v>
      </c>
      <c r="D30" s="594"/>
      <c r="E30" s="39">
        <v>20.2</v>
      </c>
      <c r="F30" s="243">
        <v>2624</v>
      </c>
      <c r="G30" s="231">
        <f t="shared" si="23"/>
        <v>53004.799999999996</v>
      </c>
      <c r="H30" s="48" t="s">
        <v>126</v>
      </c>
      <c r="I30" s="241">
        <v>15</v>
      </c>
      <c r="J30" s="43">
        <v>2400</v>
      </c>
      <c r="K30" s="18">
        <f t="shared" si="1"/>
        <v>160</v>
      </c>
      <c r="L30" s="241">
        <v>15</v>
      </c>
      <c r="M30" s="19">
        <f t="shared" si="24"/>
        <v>2281.7391304347825</v>
      </c>
      <c r="N30" s="18">
        <f t="shared" si="3"/>
        <v>152.1159420289855</v>
      </c>
      <c r="O30" s="20">
        <f t="shared" si="4"/>
        <v>0</v>
      </c>
      <c r="P30" s="21">
        <f t="shared" si="5"/>
        <v>-7.8840579710144993</v>
      </c>
      <c r="Q30" s="230">
        <f t="shared" si="6"/>
        <v>0.95072463768115933</v>
      </c>
      <c r="R30" s="573"/>
      <c r="S30" s="49">
        <v>0.37083333333333329</v>
      </c>
      <c r="T30" s="49">
        <v>0.41874999999999996</v>
      </c>
      <c r="U30" s="231">
        <f t="shared" si="26"/>
        <v>5.9999999999999787</v>
      </c>
      <c r="V30" s="242">
        <f t="shared" si="25"/>
        <v>69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-118.26086956521749</v>
      </c>
      <c r="AF30" s="230">
        <f t="shared" si="9"/>
        <v>0.95072463768115933</v>
      </c>
      <c r="AG30" s="573"/>
    </row>
    <row r="31" spans="1:33" ht="15.75" customHeight="1">
      <c r="A31" s="595" t="s">
        <v>56</v>
      </c>
      <c r="B31" s="39" t="s">
        <v>94</v>
      </c>
      <c r="C31" s="594" t="s">
        <v>529</v>
      </c>
      <c r="D31" s="594"/>
      <c r="E31" s="39">
        <v>26.18</v>
      </c>
      <c r="F31" s="243">
        <v>4100</v>
      </c>
      <c r="G31" s="231">
        <f t="shared" si="23"/>
        <v>107338</v>
      </c>
      <c r="H31" s="48">
        <v>2</v>
      </c>
      <c r="I31" s="241">
        <v>19</v>
      </c>
      <c r="J31" s="43">
        <v>2400</v>
      </c>
      <c r="K31" s="18">
        <f t="shared" si="1"/>
        <v>126.31578947368421</v>
      </c>
      <c r="L31" s="241">
        <v>19</v>
      </c>
      <c r="M31" s="19">
        <f t="shared" si="24"/>
        <v>2299.0654205607475</v>
      </c>
      <c r="N31" s="18">
        <f t="shared" si="3"/>
        <v>121.00344318740777</v>
      </c>
      <c r="O31" s="20">
        <f t="shared" si="4"/>
        <v>0</v>
      </c>
      <c r="P31" s="21">
        <f t="shared" si="5"/>
        <v>-5.312346286276437</v>
      </c>
      <c r="Q31" s="230">
        <f t="shared" si="6"/>
        <v>0.95794392523364491</v>
      </c>
      <c r="R31" s="573"/>
      <c r="S31" s="49">
        <v>0.42291666666666661</v>
      </c>
      <c r="T31" s="49">
        <v>0.49722222222222218</v>
      </c>
      <c r="U31" s="231">
        <f t="shared" si="26"/>
        <v>5.9999999999999787</v>
      </c>
      <c r="V31" s="242">
        <f t="shared" si="25"/>
        <v>107.00000000000001</v>
      </c>
      <c r="W31" s="25">
        <f>T31</f>
        <v>0.49722222222222218</v>
      </c>
      <c r="X31" s="25">
        <f>S32</f>
        <v>0.53819444444444442</v>
      </c>
      <c r="Y31" s="25"/>
      <c r="Z31" s="25"/>
      <c r="AA31" s="575"/>
      <c r="AB31" s="575"/>
      <c r="AC31" s="50"/>
      <c r="AD31" s="27"/>
      <c r="AE31" s="20">
        <f t="shared" si="8"/>
        <v>-100.9345794392525</v>
      </c>
      <c r="AF31" s="230">
        <f t="shared" si="9"/>
        <v>0.9579439252336448</v>
      </c>
      <c r="AG31" s="573"/>
    </row>
    <row r="32" spans="1:33" ht="15.75" customHeight="1">
      <c r="A32" s="595" t="s">
        <v>56</v>
      </c>
      <c r="B32" s="39" t="s">
        <v>94</v>
      </c>
      <c r="C32" s="594" t="s">
        <v>95</v>
      </c>
      <c r="D32" s="594"/>
      <c r="E32" s="39">
        <v>31.29</v>
      </c>
      <c r="F32" s="243">
        <v>4400</v>
      </c>
      <c r="G32" s="231">
        <f t="shared" si="23"/>
        <v>137676</v>
      </c>
      <c r="H32" s="48" t="s">
        <v>126</v>
      </c>
      <c r="I32" s="241">
        <v>18</v>
      </c>
      <c r="J32" s="43">
        <v>2400</v>
      </c>
      <c r="K32" s="18">
        <f t="shared" si="1"/>
        <v>133.33333333333334</v>
      </c>
      <c r="L32" s="241">
        <v>18</v>
      </c>
      <c r="M32" s="19">
        <f t="shared" si="24"/>
        <v>2295.6521739130421</v>
      </c>
      <c r="N32" s="18">
        <f t="shared" si="3"/>
        <v>127.5362318840579</v>
      </c>
      <c r="O32" s="20">
        <f t="shared" si="4"/>
        <v>0</v>
      </c>
      <c r="P32" s="21">
        <f t="shared" si="5"/>
        <v>-5.7971014492754449</v>
      </c>
      <c r="Q32" s="230">
        <f t="shared" si="6"/>
        <v>0.95652173913043415</v>
      </c>
      <c r="R32" s="573"/>
      <c r="S32" s="49">
        <v>0.53819444444444442</v>
      </c>
      <c r="T32" s="49">
        <v>0.61805555555555558</v>
      </c>
      <c r="U32" s="231">
        <f t="shared" si="26"/>
        <v>59.000000000000028</v>
      </c>
      <c r="V32" s="242">
        <f t="shared" si="25"/>
        <v>115.00000000000007</v>
      </c>
      <c r="W32" s="25"/>
      <c r="X32" s="25"/>
      <c r="Y32" s="25"/>
      <c r="Z32" s="25"/>
      <c r="AA32" s="575"/>
      <c r="AB32" s="575"/>
      <c r="AC32" s="50"/>
      <c r="AD32" s="27"/>
      <c r="AE32" s="20">
        <f t="shared" si="8"/>
        <v>-104.34782608695787</v>
      </c>
      <c r="AF32" s="230">
        <f t="shared" si="9"/>
        <v>0.95652173913043426</v>
      </c>
      <c r="AG32" s="573"/>
    </row>
    <row r="33" spans="1:33" ht="15.75" customHeight="1">
      <c r="A33" s="595" t="s">
        <v>56</v>
      </c>
      <c r="B33" s="39" t="s">
        <v>94</v>
      </c>
      <c r="C33" s="594" t="s">
        <v>97</v>
      </c>
      <c r="D33" s="594"/>
      <c r="E33" s="39">
        <v>26.37</v>
      </c>
      <c r="F33" s="243">
        <v>2797</v>
      </c>
      <c r="G33" s="231">
        <f t="shared" si="23"/>
        <v>73756.89</v>
      </c>
      <c r="H33" s="48" t="s">
        <v>126</v>
      </c>
      <c r="I33" s="241">
        <v>18</v>
      </c>
      <c r="J33" s="43">
        <v>2400</v>
      </c>
      <c r="K33" s="18">
        <f t="shared" si="1"/>
        <v>133.33333333333334</v>
      </c>
      <c r="L33" s="241">
        <v>18</v>
      </c>
      <c r="M33" s="19">
        <f t="shared" si="24"/>
        <v>2298.9041095890393</v>
      </c>
      <c r="N33" s="18">
        <f t="shared" si="3"/>
        <v>127.71689497716885</v>
      </c>
      <c r="O33" s="20">
        <f t="shared" si="4"/>
        <v>0</v>
      </c>
      <c r="P33" s="21">
        <f t="shared" si="5"/>
        <v>-5.6164383561644939</v>
      </c>
      <c r="Q33" s="230">
        <f t="shared" si="6"/>
        <v>0.95787671232876626</v>
      </c>
      <c r="R33" s="573"/>
      <c r="S33" s="49">
        <v>0.62152777777777779</v>
      </c>
      <c r="T33" s="49">
        <v>0.67222222222222228</v>
      </c>
      <c r="U33" s="231">
        <f t="shared" si="26"/>
        <v>4.9999999999999822</v>
      </c>
      <c r="V33" s="242">
        <f t="shared" si="25"/>
        <v>73.000000000000057</v>
      </c>
      <c r="W33" s="25"/>
      <c r="X33" s="25"/>
      <c r="Y33" s="25"/>
      <c r="Z33" s="25"/>
      <c r="AA33" s="575"/>
      <c r="AB33" s="575"/>
      <c r="AC33" s="50"/>
      <c r="AD33" s="27"/>
      <c r="AE33" s="20">
        <f t="shared" si="8"/>
        <v>-101.09589041096069</v>
      </c>
      <c r="AF33" s="230">
        <f t="shared" si="9"/>
        <v>0.95787671232876637</v>
      </c>
      <c r="AG33" s="573"/>
    </row>
    <row r="34" spans="1:33" ht="15.75" customHeight="1">
      <c r="A34" s="595" t="s">
        <v>56</v>
      </c>
      <c r="B34" s="39" t="s">
        <v>94</v>
      </c>
      <c r="C34" s="239" t="s">
        <v>98</v>
      </c>
      <c r="D34" s="240"/>
      <c r="E34" s="39">
        <v>25.99</v>
      </c>
      <c r="F34" s="243">
        <v>2253</v>
      </c>
      <c r="G34" s="231">
        <f t="shared" si="23"/>
        <v>58555.469999999994</v>
      </c>
      <c r="H34" s="48" t="s">
        <v>126</v>
      </c>
      <c r="I34" s="241">
        <v>14</v>
      </c>
      <c r="J34" s="43">
        <v>2400</v>
      </c>
      <c r="K34" s="18">
        <f t="shared" si="1"/>
        <v>171.42857142857142</v>
      </c>
      <c r="L34" s="241">
        <v>14</v>
      </c>
      <c r="M34" s="19">
        <f t="shared" si="24"/>
        <v>2291.1864406779678</v>
      </c>
      <c r="N34" s="18">
        <f t="shared" si="3"/>
        <v>163.65617433414056</v>
      </c>
      <c r="O34" s="20">
        <f t="shared" si="4"/>
        <v>0</v>
      </c>
      <c r="P34" s="21">
        <f t="shared" si="5"/>
        <v>-7.7723970944308576</v>
      </c>
      <c r="Q34" s="230">
        <f t="shared" si="6"/>
        <v>0.95466101694915328</v>
      </c>
      <c r="R34" s="573"/>
      <c r="S34" s="49">
        <v>0.67638888888888893</v>
      </c>
      <c r="T34" s="49">
        <v>0.71736111111111112</v>
      </c>
      <c r="U34" s="231">
        <f t="shared" si="26"/>
        <v>5.9999999999999787</v>
      </c>
      <c r="V34" s="242">
        <f t="shared" si="25"/>
        <v>58.99999999999995</v>
      </c>
      <c r="W34" s="25"/>
      <c r="X34" s="25"/>
      <c r="Y34" s="25"/>
      <c r="Z34" s="25"/>
      <c r="AA34" s="234"/>
      <c r="AB34" s="235"/>
      <c r="AC34" s="50"/>
      <c r="AD34" s="27"/>
      <c r="AE34" s="20">
        <f t="shared" si="8"/>
        <v>-108.81355932203223</v>
      </c>
      <c r="AF34" s="230">
        <f t="shared" si="9"/>
        <v>0.95466101694915328</v>
      </c>
      <c r="AG34" s="573"/>
    </row>
    <row r="35" spans="1:33" ht="15.75" customHeight="1">
      <c r="A35" s="595" t="s">
        <v>56</v>
      </c>
      <c r="B35" s="39" t="s">
        <v>94</v>
      </c>
      <c r="C35" s="630" t="s">
        <v>529</v>
      </c>
      <c r="D35" s="631"/>
      <c r="E35" s="39">
        <v>26.18</v>
      </c>
      <c r="F35" s="243">
        <v>1799</v>
      </c>
      <c r="G35" s="231">
        <f t="shared" si="23"/>
        <v>47097.82</v>
      </c>
      <c r="H35" s="48" t="s">
        <v>126</v>
      </c>
      <c r="I35" s="241">
        <v>19</v>
      </c>
      <c r="J35" s="43">
        <v>2400</v>
      </c>
      <c r="K35" s="18">
        <f t="shared" si="1"/>
        <v>126.31578947368421</v>
      </c>
      <c r="L35" s="241">
        <v>19</v>
      </c>
      <c r="M35" s="19">
        <f t="shared" si="24"/>
        <v>2296.5957446808511</v>
      </c>
      <c r="N35" s="18">
        <f t="shared" si="3"/>
        <v>120.87346024636058</v>
      </c>
      <c r="O35" s="20">
        <f t="shared" si="4"/>
        <v>0</v>
      </c>
      <c r="P35" s="21">
        <f t="shared" si="5"/>
        <v>-5.4423292273236257</v>
      </c>
      <c r="Q35" s="230">
        <f t="shared" si="6"/>
        <v>0.95691489361702131</v>
      </c>
      <c r="R35" s="573"/>
      <c r="S35" s="49">
        <v>0.72152777777777777</v>
      </c>
      <c r="T35" s="49">
        <v>0.75416666666666665</v>
      </c>
      <c r="U35" s="231">
        <f t="shared" si="26"/>
        <v>5.9999999999999787</v>
      </c>
      <c r="V35" s="242">
        <f t="shared" si="25"/>
        <v>46.999999999999993</v>
      </c>
      <c r="W35" s="25"/>
      <c r="X35" s="25"/>
      <c r="Y35" s="28"/>
      <c r="Z35" s="28"/>
      <c r="AA35" s="234"/>
      <c r="AB35" s="235"/>
      <c r="AC35" s="50"/>
      <c r="AD35" s="27"/>
      <c r="AE35" s="20">
        <f t="shared" si="8"/>
        <v>-103.40425531914889</v>
      </c>
      <c r="AF35" s="230">
        <f t="shared" si="9"/>
        <v>0.95691489361702131</v>
      </c>
      <c r="AG35" s="573"/>
    </row>
    <row r="36" spans="1:33" ht="15.75" customHeight="1">
      <c r="A36" s="595" t="s">
        <v>56</v>
      </c>
      <c r="B36" s="39" t="s">
        <v>46</v>
      </c>
      <c r="C36" s="576"/>
      <c r="D36" s="576"/>
      <c r="E36" s="236"/>
      <c r="F36" s="243"/>
      <c r="G36" s="231"/>
      <c r="H36" s="243"/>
      <c r="I36" s="32">
        <v>17</v>
      </c>
      <c r="J36" s="43">
        <v>2400</v>
      </c>
      <c r="K36" s="18">
        <f t="shared" si="1"/>
        <v>141.1764705882353</v>
      </c>
      <c r="L36" s="32">
        <v>17</v>
      </c>
      <c r="M36" s="19">
        <f>AVERAGE(M27:M35)</f>
        <v>2293.19964758784</v>
      </c>
      <c r="N36" s="18">
        <f t="shared" si="3"/>
        <v>134.89409691693177</v>
      </c>
      <c r="O36" s="20">
        <f t="shared" si="4"/>
        <v>0</v>
      </c>
      <c r="P36" s="21">
        <f t="shared" si="5"/>
        <v>-6.2823736713035316</v>
      </c>
      <c r="Q36" s="230">
        <f t="shared" si="6"/>
        <v>0.95549985316160002</v>
      </c>
      <c r="R36" s="573"/>
      <c r="S36" s="49"/>
      <c r="T36" s="49"/>
      <c r="U36" s="231"/>
      <c r="V36" s="242"/>
      <c r="W36" s="231"/>
      <c r="X36" s="231"/>
      <c r="Y36" s="33">
        <f>SUM(Y27:Y35)</f>
        <v>0</v>
      </c>
      <c r="Z36" s="33">
        <f>SUM(Z27:Z35)</f>
        <v>0</v>
      </c>
      <c r="AA36" s="572"/>
      <c r="AB36" s="572"/>
      <c r="AC36" s="33">
        <v>9</v>
      </c>
      <c r="AD36" s="33">
        <f>SUM(AD27:AD35)</f>
        <v>0</v>
      </c>
      <c r="AE36" s="20">
        <f t="shared" si="8"/>
        <v>-106.80035241216001</v>
      </c>
      <c r="AF36" s="230">
        <f t="shared" si="9"/>
        <v>0.95549985316160002</v>
      </c>
      <c r="AG36" s="573"/>
    </row>
    <row r="37" spans="1:33" ht="15.75" customHeight="1">
      <c r="A37" s="592" t="s">
        <v>59</v>
      </c>
      <c r="B37" s="39" t="s">
        <v>94</v>
      </c>
      <c r="C37" s="574" t="s">
        <v>530</v>
      </c>
      <c r="D37" s="574"/>
      <c r="E37" s="39">
        <v>26.18</v>
      </c>
      <c r="F37" s="243">
        <v>3200</v>
      </c>
      <c r="G37" s="231">
        <f t="shared" ref="G37:G44" si="27">E37*F37</f>
        <v>83776</v>
      </c>
      <c r="H37" s="48">
        <v>2</v>
      </c>
      <c r="I37" s="241">
        <v>21</v>
      </c>
      <c r="J37" s="43">
        <v>2400</v>
      </c>
      <c r="K37" s="18">
        <f t="shared" si="1"/>
        <v>114.28571428571429</v>
      </c>
      <c r="L37" s="241">
        <v>21</v>
      </c>
      <c r="M37" s="19">
        <f t="shared" ref="M37:M44" si="28">F37/V37*60</f>
        <v>2285.7142857142858</v>
      </c>
      <c r="N37" s="18">
        <f t="shared" si="3"/>
        <v>108.84353741496599</v>
      </c>
      <c r="O37" s="20">
        <f t="shared" si="4"/>
        <v>0</v>
      </c>
      <c r="P37" s="21">
        <f t="shared" si="5"/>
        <v>-5.4421768707482983</v>
      </c>
      <c r="Q37" s="230">
        <f t="shared" si="6"/>
        <v>0.95238095238095244</v>
      </c>
      <c r="R37" s="573">
        <f>Q45</f>
        <v>0.95492393625919103</v>
      </c>
      <c r="S37" s="49">
        <v>8.3333333333333329E-2</v>
      </c>
      <c r="T37" s="49">
        <v>0.14166666666666666</v>
      </c>
      <c r="U37" s="231"/>
      <c r="V37" s="242">
        <f t="shared" ref="V37:V44" si="29">(T37-S37)*24*60</f>
        <v>84</v>
      </c>
      <c r="W37" s="30">
        <f>T37</f>
        <v>0.14166666666666666</v>
      </c>
      <c r="X37" s="30">
        <f>S38</f>
        <v>0.16180555555555556</v>
      </c>
      <c r="Y37" s="30"/>
      <c r="Z37" s="30"/>
      <c r="AA37" s="575"/>
      <c r="AB37" s="575"/>
      <c r="AC37" s="50">
        <v>8</v>
      </c>
      <c r="AD37" s="27"/>
      <c r="AE37" s="20">
        <f t="shared" si="8"/>
        <v>-114.28571428571422</v>
      </c>
      <c r="AF37" s="230">
        <f t="shared" si="9"/>
        <v>0.95238095238095244</v>
      </c>
      <c r="AG37" s="573">
        <f>AF45</f>
        <v>0.95492393625919103</v>
      </c>
    </row>
    <row r="38" spans="1:33" ht="15.75" customHeight="1">
      <c r="A38" s="592" t="s">
        <v>59</v>
      </c>
      <c r="B38" s="39" t="s">
        <v>94</v>
      </c>
      <c r="C38" s="574" t="s">
        <v>100</v>
      </c>
      <c r="D38" s="574"/>
      <c r="E38" s="39">
        <v>24.43</v>
      </c>
      <c r="F38" s="243">
        <v>4400</v>
      </c>
      <c r="G38" s="231">
        <f t="shared" si="27"/>
        <v>107492</v>
      </c>
      <c r="H38" s="48">
        <v>2</v>
      </c>
      <c r="I38" s="241">
        <v>14</v>
      </c>
      <c r="J38" s="43">
        <v>2400</v>
      </c>
      <c r="K38" s="18">
        <f t="shared" si="1"/>
        <v>171.42857142857142</v>
      </c>
      <c r="L38" s="241">
        <v>14</v>
      </c>
      <c r="M38" s="19">
        <f t="shared" si="28"/>
        <v>2295.652173913043</v>
      </c>
      <c r="N38" s="18">
        <f t="shared" si="3"/>
        <v>163.97515527950307</v>
      </c>
      <c r="O38" s="20">
        <f t="shared" si="4"/>
        <v>0</v>
      </c>
      <c r="P38" s="21">
        <f t="shared" si="5"/>
        <v>-7.4534161490683459</v>
      </c>
      <c r="Q38" s="230">
        <f t="shared" si="6"/>
        <v>0.9565217391304347</v>
      </c>
      <c r="R38" s="573"/>
      <c r="S38" s="49">
        <v>0.16180555555555556</v>
      </c>
      <c r="T38" s="49">
        <v>0.2416666666666667</v>
      </c>
      <c r="U38" s="231">
        <f t="shared" ref="U38:U44" si="30">(S38-T37)*24*60</f>
        <v>29.000000000000018</v>
      </c>
      <c r="V38" s="242">
        <f t="shared" si="29"/>
        <v>115.00000000000003</v>
      </c>
      <c r="W38" s="231"/>
      <c r="X38" s="231"/>
      <c r="Y38" s="231"/>
      <c r="Z38" s="231"/>
      <c r="AA38" s="575"/>
      <c r="AB38" s="575"/>
      <c r="AC38" s="50"/>
      <c r="AD38" s="27"/>
      <c r="AE38" s="20">
        <f t="shared" si="8"/>
        <v>-104.34782608695696</v>
      </c>
      <c r="AF38" s="230">
        <f t="shared" si="9"/>
        <v>0.95652173913043459</v>
      </c>
      <c r="AG38" s="573"/>
    </row>
    <row r="39" spans="1:33">
      <c r="A39" s="593" t="s">
        <v>59</v>
      </c>
      <c r="B39" s="39" t="s">
        <v>94</v>
      </c>
      <c r="C39" s="574" t="s">
        <v>102</v>
      </c>
      <c r="D39" s="574"/>
      <c r="E39" s="39">
        <v>34.1</v>
      </c>
      <c r="F39" s="243">
        <v>4300</v>
      </c>
      <c r="G39" s="231">
        <f t="shared" si="27"/>
        <v>146630</v>
      </c>
      <c r="H39" s="48">
        <v>2</v>
      </c>
      <c r="I39" s="241">
        <v>17</v>
      </c>
      <c r="J39" s="43">
        <v>1600</v>
      </c>
      <c r="K39" s="18">
        <f t="shared" si="1"/>
        <v>94.117647058823536</v>
      </c>
      <c r="L39" s="241">
        <v>17</v>
      </c>
      <c r="M39" s="19">
        <f t="shared" si="28"/>
        <v>1526.6272189349108</v>
      </c>
      <c r="N39" s="18">
        <f t="shared" si="3"/>
        <v>89.801601113818279</v>
      </c>
      <c r="O39" s="20">
        <f t="shared" si="4"/>
        <v>0</v>
      </c>
      <c r="P39" s="21">
        <f t="shared" si="5"/>
        <v>-4.3160459450052571</v>
      </c>
      <c r="Q39" s="230">
        <f t="shared" si="6"/>
        <v>0.95414201183431913</v>
      </c>
      <c r="R39" s="573"/>
      <c r="S39" s="49">
        <v>0.24513888888888891</v>
      </c>
      <c r="T39" s="49">
        <v>0.36250000000000004</v>
      </c>
      <c r="U39" s="231">
        <f t="shared" si="30"/>
        <v>4.9999999999999822</v>
      </c>
      <c r="V39" s="242">
        <f t="shared" si="29"/>
        <v>169.00000000000003</v>
      </c>
      <c r="W39" s="231"/>
      <c r="X39" s="231"/>
      <c r="Y39" s="231"/>
      <c r="Z39" s="231"/>
      <c r="AA39" s="575"/>
      <c r="AB39" s="575"/>
      <c r="AC39" s="50"/>
      <c r="AD39" s="27"/>
      <c r="AE39" s="20">
        <f t="shared" si="8"/>
        <v>-73.372781065089157</v>
      </c>
      <c r="AF39" s="230">
        <f t="shared" si="9"/>
        <v>0.95414201183431924</v>
      </c>
      <c r="AG39" s="573"/>
    </row>
    <row r="40" spans="1:33">
      <c r="A40" s="593" t="s">
        <v>59</v>
      </c>
      <c r="B40" s="39" t="s">
        <v>94</v>
      </c>
      <c r="C40" s="574" t="s">
        <v>122</v>
      </c>
      <c r="D40" s="574"/>
      <c r="E40" s="39">
        <v>20.52</v>
      </c>
      <c r="F40" s="243">
        <v>3253</v>
      </c>
      <c r="G40" s="231">
        <f t="shared" si="27"/>
        <v>66751.56</v>
      </c>
      <c r="H40" s="48" t="s">
        <v>126</v>
      </c>
      <c r="I40" s="241">
        <v>18</v>
      </c>
      <c r="J40" s="43">
        <v>2400</v>
      </c>
      <c r="K40" s="18">
        <f t="shared" si="1"/>
        <v>133.33333333333334</v>
      </c>
      <c r="L40" s="241">
        <v>18</v>
      </c>
      <c r="M40" s="19">
        <f t="shared" si="28"/>
        <v>2296.2352941176468</v>
      </c>
      <c r="N40" s="18">
        <f t="shared" si="3"/>
        <v>127.56862745098039</v>
      </c>
      <c r="O40" s="20">
        <f t="shared" si="4"/>
        <v>0</v>
      </c>
      <c r="P40" s="21">
        <f t="shared" si="5"/>
        <v>-5.7647058823529562</v>
      </c>
      <c r="Q40" s="230">
        <f t="shared" si="6"/>
        <v>0.95676470588235285</v>
      </c>
      <c r="R40" s="573"/>
      <c r="S40" s="49">
        <v>0.36736111111111114</v>
      </c>
      <c r="T40" s="49">
        <v>0.42638888888888893</v>
      </c>
      <c r="U40" s="231">
        <f t="shared" si="30"/>
        <v>6.9999999999999751</v>
      </c>
      <c r="V40" s="242">
        <f t="shared" si="29"/>
        <v>85.000000000000014</v>
      </c>
      <c r="W40" s="25"/>
      <c r="X40" s="25"/>
      <c r="Y40" s="25"/>
      <c r="Z40" s="25"/>
      <c r="AA40" s="575"/>
      <c r="AB40" s="575"/>
      <c r="AC40" s="50"/>
      <c r="AD40" s="27"/>
      <c r="AE40" s="20">
        <f t="shared" si="8"/>
        <v>-103.76470588235316</v>
      </c>
      <c r="AF40" s="230">
        <f t="shared" si="9"/>
        <v>0.95676470588235285</v>
      </c>
      <c r="AG40" s="573"/>
    </row>
    <row r="41" spans="1:33">
      <c r="A41" s="593" t="s">
        <v>59</v>
      </c>
      <c r="B41" s="39" t="s">
        <v>94</v>
      </c>
      <c r="C41" s="574" t="s">
        <v>101</v>
      </c>
      <c r="D41" s="574"/>
      <c r="E41" s="39">
        <v>25.98</v>
      </c>
      <c r="F41" s="243">
        <v>3681</v>
      </c>
      <c r="G41" s="231">
        <f t="shared" si="27"/>
        <v>95632.38</v>
      </c>
      <c r="H41" s="48" t="s">
        <v>126</v>
      </c>
      <c r="I41" s="241">
        <v>19</v>
      </c>
      <c r="J41" s="43">
        <v>2400</v>
      </c>
      <c r="K41" s="18">
        <f t="shared" si="1"/>
        <v>126.31578947368421</v>
      </c>
      <c r="L41" s="241">
        <v>19</v>
      </c>
      <c r="M41" s="19">
        <f t="shared" si="28"/>
        <v>2300.6250000000009</v>
      </c>
      <c r="N41" s="18">
        <f t="shared" si="3"/>
        <v>121.08552631578952</v>
      </c>
      <c r="O41" s="20">
        <f t="shared" si="4"/>
        <v>0</v>
      </c>
      <c r="P41" s="21">
        <f t="shared" si="5"/>
        <v>-5.230263157894683</v>
      </c>
      <c r="Q41" s="230">
        <f t="shared" si="6"/>
        <v>0.95859375000000047</v>
      </c>
      <c r="R41" s="573"/>
      <c r="S41" s="49">
        <v>0.43125000000000002</v>
      </c>
      <c r="T41" s="49">
        <v>0.49791666666666667</v>
      </c>
      <c r="U41" s="231">
        <f t="shared" si="30"/>
        <v>6.9999999999999751</v>
      </c>
      <c r="V41" s="242">
        <f t="shared" si="29"/>
        <v>95.999999999999972</v>
      </c>
      <c r="W41" s="25">
        <f>T41</f>
        <v>0.49791666666666667</v>
      </c>
      <c r="X41" s="25">
        <f>S42</f>
        <v>0.53819444444444442</v>
      </c>
      <c r="Y41" s="25"/>
      <c r="Z41" s="25"/>
      <c r="AA41" s="575"/>
      <c r="AB41" s="575"/>
      <c r="AC41" s="50"/>
      <c r="AD41" s="27"/>
      <c r="AE41" s="20">
        <f t="shared" si="8"/>
        <v>-99.374999999999091</v>
      </c>
      <c r="AF41" s="230">
        <f t="shared" si="9"/>
        <v>0.95859375000000036</v>
      </c>
      <c r="AG41" s="573"/>
    </row>
    <row r="42" spans="1:33">
      <c r="A42" s="593" t="s">
        <v>59</v>
      </c>
      <c r="B42" s="39" t="s">
        <v>94</v>
      </c>
      <c r="C42" s="574" t="s">
        <v>100</v>
      </c>
      <c r="D42" s="574"/>
      <c r="E42" s="39">
        <v>24.43</v>
      </c>
      <c r="F42" s="243">
        <v>3314</v>
      </c>
      <c r="G42" s="231">
        <f t="shared" si="27"/>
        <v>80961.02</v>
      </c>
      <c r="H42" s="48" t="s">
        <v>126</v>
      </c>
      <c r="I42" s="241">
        <v>14</v>
      </c>
      <c r="J42" s="43">
        <v>2400</v>
      </c>
      <c r="K42" s="18">
        <f t="shared" si="1"/>
        <v>171.42857142857142</v>
      </c>
      <c r="L42" s="241">
        <v>14</v>
      </c>
      <c r="M42" s="19">
        <f t="shared" si="28"/>
        <v>2285.5172413793102</v>
      </c>
      <c r="N42" s="18">
        <f t="shared" si="3"/>
        <v>163.25123152709358</v>
      </c>
      <c r="O42" s="20">
        <f t="shared" si="4"/>
        <v>0</v>
      </c>
      <c r="P42" s="21">
        <f t="shared" si="5"/>
        <v>-8.1773399014778363</v>
      </c>
      <c r="Q42" s="230">
        <f t="shared" si="6"/>
        <v>0.95229885057471264</v>
      </c>
      <c r="R42" s="573"/>
      <c r="S42" s="49">
        <v>0.53819444444444442</v>
      </c>
      <c r="T42" s="49">
        <v>0.59861111111111109</v>
      </c>
      <c r="U42" s="231">
        <f t="shared" si="30"/>
        <v>57.999999999999957</v>
      </c>
      <c r="V42" s="242">
        <f t="shared" si="29"/>
        <v>87.000000000000014</v>
      </c>
      <c r="W42" s="25"/>
      <c r="X42" s="25"/>
      <c r="Y42" s="25"/>
      <c r="Z42" s="25"/>
      <c r="AA42" s="575"/>
      <c r="AB42" s="575"/>
      <c r="AC42" s="50"/>
      <c r="AD42" s="27"/>
      <c r="AE42" s="20">
        <f t="shared" si="8"/>
        <v>-114.48275862068976</v>
      </c>
      <c r="AF42" s="230">
        <f t="shared" si="9"/>
        <v>0.95229885057471264</v>
      </c>
      <c r="AG42" s="573"/>
    </row>
    <row r="43" spans="1:33">
      <c r="A43" s="593" t="s">
        <v>59</v>
      </c>
      <c r="B43" s="39" t="s">
        <v>94</v>
      </c>
      <c r="C43" s="574" t="s">
        <v>102</v>
      </c>
      <c r="D43" s="574"/>
      <c r="E43" s="39">
        <v>34.1</v>
      </c>
      <c r="F43" s="243">
        <v>2972</v>
      </c>
      <c r="G43" s="231">
        <f t="shared" si="27"/>
        <v>101345.2</v>
      </c>
      <c r="H43" s="48" t="s">
        <v>126</v>
      </c>
      <c r="I43" s="241">
        <v>17</v>
      </c>
      <c r="J43" s="43">
        <v>1600</v>
      </c>
      <c r="K43" s="18">
        <f t="shared" si="1"/>
        <v>94.117647058823536</v>
      </c>
      <c r="L43" s="241">
        <v>17</v>
      </c>
      <c r="M43" s="19">
        <f t="shared" si="28"/>
        <v>1524.1025641025633</v>
      </c>
      <c r="N43" s="18">
        <f t="shared" si="3"/>
        <v>89.653092006033134</v>
      </c>
      <c r="O43" s="20">
        <f t="shared" si="4"/>
        <v>0</v>
      </c>
      <c r="P43" s="21">
        <f t="shared" si="5"/>
        <v>-4.4645550527904021</v>
      </c>
      <c r="Q43" s="230">
        <f t="shared" si="6"/>
        <v>0.95256410256410196</v>
      </c>
      <c r="R43" s="573"/>
      <c r="S43" s="49">
        <v>0.6020833333333333</v>
      </c>
      <c r="T43" s="49">
        <v>0.68333333333333335</v>
      </c>
      <c r="U43" s="231">
        <f t="shared" si="30"/>
        <v>4.9999999999999822</v>
      </c>
      <c r="V43" s="242">
        <f t="shared" si="29"/>
        <v>117.00000000000006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-75.897435897436708</v>
      </c>
      <c r="AF43" s="230">
        <f t="shared" si="9"/>
        <v>0.95256410256410207</v>
      </c>
      <c r="AG43" s="573"/>
    </row>
    <row r="44" spans="1:33">
      <c r="A44" s="593" t="s">
        <v>59</v>
      </c>
      <c r="B44" s="39" t="s">
        <v>94</v>
      </c>
      <c r="C44" s="574" t="s">
        <v>530</v>
      </c>
      <c r="D44" s="574"/>
      <c r="E44" s="39">
        <v>26.18</v>
      </c>
      <c r="F44" s="243">
        <v>2445</v>
      </c>
      <c r="G44" s="231">
        <f t="shared" si="27"/>
        <v>64010.1</v>
      </c>
      <c r="H44" s="48" t="s">
        <v>126</v>
      </c>
      <c r="I44" s="241">
        <v>21</v>
      </c>
      <c r="J44" s="43">
        <v>2400</v>
      </c>
      <c r="K44" s="18">
        <f t="shared" si="1"/>
        <v>114.28571428571429</v>
      </c>
      <c r="L44" s="241">
        <v>21</v>
      </c>
      <c r="M44" s="19">
        <f t="shared" si="28"/>
        <v>2292.1875000000027</v>
      </c>
      <c r="N44" s="18">
        <f t="shared" si="3"/>
        <v>109.15178571428585</v>
      </c>
      <c r="O44" s="20">
        <f t="shared" si="4"/>
        <v>0</v>
      </c>
      <c r="P44" s="21">
        <f t="shared" si="5"/>
        <v>-5.1339285714284415</v>
      </c>
      <c r="Q44" s="230">
        <f t="shared" si="6"/>
        <v>0.95507812500000111</v>
      </c>
      <c r="R44" s="573"/>
      <c r="S44" s="49">
        <v>0.68680555555555556</v>
      </c>
      <c r="T44" s="49">
        <v>0.73124999999999996</v>
      </c>
      <c r="U44" s="231">
        <f t="shared" si="30"/>
        <v>4.9999999999999822</v>
      </c>
      <c r="V44" s="242">
        <f t="shared" si="29"/>
        <v>63.999999999999929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-107.81249999999727</v>
      </c>
      <c r="AF44" s="230">
        <f t="shared" si="9"/>
        <v>0.95507812500000111</v>
      </c>
      <c r="AG44" s="573"/>
    </row>
    <row r="45" spans="1:33">
      <c r="A45" s="593" t="s">
        <v>59</v>
      </c>
      <c r="B45" s="42" t="s">
        <v>46</v>
      </c>
      <c r="C45" s="576"/>
      <c r="D45" s="576"/>
      <c r="E45" s="236"/>
      <c r="F45" s="42"/>
      <c r="G45" s="18"/>
      <c r="H45" s="243"/>
      <c r="I45" s="32">
        <v>17.625</v>
      </c>
      <c r="J45" s="43">
        <v>2200</v>
      </c>
      <c r="K45" s="18">
        <f t="shared" si="1"/>
        <v>124.822695035461</v>
      </c>
      <c r="L45" s="32">
        <v>17.625</v>
      </c>
      <c r="M45" s="19">
        <f>AVERAGE(M37:M44)</f>
        <v>2100.8326597702203</v>
      </c>
      <c r="N45" s="18">
        <f t="shared" si="3"/>
        <v>119.196179277743</v>
      </c>
      <c r="O45" s="20">
        <f t="shared" si="4"/>
        <v>0</v>
      </c>
      <c r="P45" s="21">
        <f t="shared" si="5"/>
        <v>-5.6265157577179963</v>
      </c>
      <c r="Q45" s="230">
        <f t="shared" si="6"/>
        <v>0.95492393625919103</v>
      </c>
      <c r="R45" s="573"/>
      <c r="S45" s="49"/>
      <c r="T45" s="49"/>
      <c r="U45" s="18"/>
      <c r="V45" s="242"/>
      <c r="W45" s="18"/>
      <c r="X45" s="18"/>
      <c r="Y45" s="33">
        <f>SUM(Y37:Y44)</f>
        <v>0</v>
      </c>
      <c r="Z45" s="33">
        <f>SUM(Z37:Z44)</f>
        <v>0</v>
      </c>
      <c r="AA45" s="572"/>
      <c r="AB45" s="572"/>
      <c r="AC45" s="33">
        <v>8</v>
      </c>
      <c r="AD45" s="33">
        <f>SUM(AD37:AD44)</f>
        <v>0</v>
      </c>
      <c r="AE45" s="20">
        <f t="shared" si="8"/>
        <v>-99.167340229779711</v>
      </c>
      <c r="AF45" s="230">
        <f t="shared" si="9"/>
        <v>0.95492393625919103</v>
      </c>
      <c r="AG45" s="573"/>
    </row>
    <row r="46" spans="1:33" ht="15.75" customHeight="1">
      <c r="A46" s="589" t="s">
        <v>61</v>
      </c>
      <c r="B46" s="39" t="s">
        <v>104</v>
      </c>
      <c r="C46" s="566" t="s">
        <v>105</v>
      </c>
      <c r="D46" s="567"/>
      <c r="E46" s="39">
        <v>37.880000000000003</v>
      </c>
      <c r="F46" s="243">
        <v>3118</v>
      </c>
      <c r="G46" s="231">
        <f t="shared" ref="G46:G49" si="31">E46*F46</f>
        <v>118109.84000000001</v>
      </c>
      <c r="H46" s="48" t="s">
        <v>126</v>
      </c>
      <c r="I46" s="241">
        <v>13</v>
      </c>
      <c r="J46" s="43">
        <v>2000</v>
      </c>
      <c r="K46" s="18">
        <f t="shared" si="1"/>
        <v>153.84615384615384</v>
      </c>
      <c r="L46" s="241">
        <v>13</v>
      </c>
      <c r="M46" s="19">
        <f t="shared" ref="M46:M49" si="32">F46/V46*60</f>
        <v>1908.9795918367347</v>
      </c>
      <c r="N46" s="19">
        <f t="shared" si="3"/>
        <v>146.84458398744113</v>
      </c>
      <c r="O46" s="20">
        <f t="shared" si="4"/>
        <v>0</v>
      </c>
      <c r="P46" s="21">
        <f t="shared" si="5"/>
        <v>-7.0015698587127133</v>
      </c>
      <c r="Q46" s="230">
        <f t="shared" si="6"/>
        <v>0.95448979591836736</v>
      </c>
      <c r="R46" s="584">
        <f>Q50</f>
        <v>0.95222976383125058</v>
      </c>
      <c r="S46" s="49">
        <v>8.3333333333333329E-2</v>
      </c>
      <c r="T46" s="49">
        <v>0.15138888888888888</v>
      </c>
      <c r="U46" s="30"/>
      <c r="V46" s="242">
        <f t="shared" ref="V46:V49" si="33">(T46-S46)*24*60</f>
        <v>98</v>
      </c>
      <c r="W46" s="25">
        <f>T46</f>
        <v>0.15138888888888888</v>
      </c>
      <c r="X46" s="25">
        <f>S47</f>
        <v>0.17291666666666666</v>
      </c>
      <c r="Y46" s="28"/>
      <c r="Z46" s="28"/>
      <c r="AA46" s="568"/>
      <c r="AB46" s="569"/>
      <c r="AC46" s="50">
        <v>4</v>
      </c>
      <c r="AD46" s="27"/>
      <c r="AE46" s="20">
        <f t="shared" si="8"/>
        <v>-91.020408163265301</v>
      </c>
      <c r="AF46" s="230">
        <f t="shared" si="9"/>
        <v>0.95448979591836736</v>
      </c>
      <c r="AG46" s="584">
        <f>AF50</f>
        <v>0.95222976383125058</v>
      </c>
    </row>
    <row r="47" spans="1:33" ht="15.75" customHeight="1">
      <c r="A47" s="590" t="s">
        <v>61</v>
      </c>
      <c r="B47" s="39" t="s">
        <v>104</v>
      </c>
      <c r="C47" s="566" t="s">
        <v>106</v>
      </c>
      <c r="D47" s="567"/>
      <c r="E47" s="39">
        <v>35.119999999999997</v>
      </c>
      <c r="F47" s="243">
        <v>5796</v>
      </c>
      <c r="G47" s="231">
        <f t="shared" si="31"/>
        <v>203555.52</v>
      </c>
      <c r="H47" s="48" t="s">
        <v>126</v>
      </c>
      <c r="I47" s="241">
        <v>10</v>
      </c>
      <c r="J47" s="43">
        <v>3000</v>
      </c>
      <c r="K47" s="18">
        <f t="shared" si="1"/>
        <v>300</v>
      </c>
      <c r="L47" s="241">
        <v>10</v>
      </c>
      <c r="M47" s="19">
        <f t="shared" si="32"/>
        <v>2850.4918032786891</v>
      </c>
      <c r="N47" s="19">
        <f t="shared" si="3"/>
        <v>285.0491803278689</v>
      </c>
      <c r="O47" s="20">
        <f t="shared" si="4"/>
        <v>0</v>
      </c>
      <c r="P47" s="21">
        <f t="shared" si="5"/>
        <v>-14.950819672131104</v>
      </c>
      <c r="Q47" s="230">
        <f t="shared" si="6"/>
        <v>0.95016393442622971</v>
      </c>
      <c r="R47" s="585"/>
      <c r="S47" s="49">
        <v>0.17291666666666666</v>
      </c>
      <c r="T47" s="49">
        <v>0.25763888888888886</v>
      </c>
      <c r="U47" s="231">
        <f t="shared" ref="U47:U49" si="34">(S47-T46)*24*60</f>
        <v>31.000000000000011</v>
      </c>
      <c r="V47" s="242">
        <f t="shared" si="33"/>
        <v>121.99999999999997</v>
      </c>
      <c r="W47" s="25"/>
      <c r="X47" s="25"/>
      <c r="Y47" s="28"/>
      <c r="Z47" s="28"/>
      <c r="AA47" s="568"/>
      <c r="AB47" s="569"/>
      <c r="AC47" s="50"/>
      <c r="AD47" s="27"/>
      <c r="AE47" s="20">
        <f t="shared" si="8"/>
        <v>-149.50819672131092</v>
      </c>
      <c r="AF47" s="230">
        <f t="shared" si="9"/>
        <v>0.95016393442622971</v>
      </c>
      <c r="AG47" s="585"/>
    </row>
    <row r="48" spans="1:33" ht="15.75" customHeight="1">
      <c r="A48" s="590" t="s">
        <v>61</v>
      </c>
      <c r="B48" s="39" t="s">
        <v>104</v>
      </c>
      <c r="C48" s="566" t="s">
        <v>107</v>
      </c>
      <c r="D48" s="567"/>
      <c r="E48" s="39">
        <v>21.13</v>
      </c>
      <c r="F48" s="243">
        <v>5538</v>
      </c>
      <c r="G48" s="231">
        <f t="shared" si="31"/>
        <v>117017.93999999999</v>
      </c>
      <c r="H48" s="48" t="s">
        <v>126</v>
      </c>
      <c r="I48" s="241">
        <v>10</v>
      </c>
      <c r="J48" s="43">
        <v>3000</v>
      </c>
      <c r="K48" s="18">
        <f t="shared" si="1"/>
        <v>300</v>
      </c>
      <c r="L48" s="241">
        <v>10</v>
      </c>
      <c r="M48" s="19">
        <f t="shared" si="32"/>
        <v>2864.4827586206898</v>
      </c>
      <c r="N48" s="19">
        <f t="shared" si="3"/>
        <v>286.44827586206895</v>
      </c>
      <c r="O48" s="20">
        <f t="shared" si="4"/>
        <v>0</v>
      </c>
      <c r="P48" s="21">
        <f t="shared" si="5"/>
        <v>-13.551724137931046</v>
      </c>
      <c r="Q48" s="230">
        <f t="shared" si="6"/>
        <v>0.95482758620689656</v>
      </c>
      <c r="R48" s="585"/>
      <c r="S48" s="49">
        <v>0.26111111111111107</v>
      </c>
      <c r="T48" s="49">
        <v>0.34166666666666662</v>
      </c>
      <c r="U48" s="231">
        <f t="shared" si="34"/>
        <v>4.9999999999999822</v>
      </c>
      <c r="V48" s="242">
        <f t="shared" si="33"/>
        <v>115.99999999999999</v>
      </c>
      <c r="W48" s="25"/>
      <c r="X48" s="25"/>
      <c r="Y48" s="28"/>
      <c r="Z48" s="28"/>
      <c r="AA48" s="568"/>
      <c r="AB48" s="569"/>
      <c r="AC48" s="50"/>
      <c r="AD48" s="27"/>
      <c r="AE48" s="20">
        <f t="shared" si="8"/>
        <v>-135.51724137931024</v>
      </c>
      <c r="AF48" s="230">
        <f t="shared" si="9"/>
        <v>0.95482758620689656</v>
      </c>
      <c r="AG48" s="585"/>
    </row>
    <row r="49" spans="1:33" ht="15.75" customHeight="1">
      <c r="A49" s="590" t="s">
        <v>61</v>
      </c>
      <c r="B49" s="39" t="s">
        <v>104</v>
      </c>
      <c r="C49" s="566" t="s">
        <v>108</v>
      </c>
      <c r="D49" s="567"/>
      <c r="E49" s="39">
        <v>27.17</v>
      </c>
      <c r="F49" s="243">
        <v>7459</v>
      </c>
      <c r="G49" s="231">
        <f t="shared" si="31"/>
        <v>202661.03</v>
      </c>
      <c r="H49" s="48" t="s">
        <v>126</v>
      </c>
      <c r="I49" s="241">
        <v>10</v>
      </c>
      <c r="J49" s="43">
        <v>3000</v>
      </c>
      <c r="K49" s="18">
        <f t="shared" si="1"/>
        <v>300</v>
      </c>
      <c r="L49" s="241">
        <v>10</v>
      </c>
      <c r="M49" s="19">
        <f t="shared" si="32"/>
        <v>2850.5732484076434</v>
      </c>
      <c r="N49" s="19">
        <f t="shared" si="3"/>
        <v>285.05732484076435</v>
      </c>
      <c r="O49" s="20">
        <f t="shared" si="4"/>
        <v>0</v>
      </c>
      <c r="P49" s="21">
        <f t="shared" si="5"/>
        <v>-14.942675159235648</v>
      </c>
      <c r="Q49" s="230">
        <f t="shared" si="6"/>
        <v>0.95019108280254783</v>
      </c>
      <c r="R49" s="585"/>
      <c r="S49" s="49">
        <v>0.34583333333333327</v>
      </c>
      <c r="T49" s="49">
        <v>0.45486111111111105</v>
      </c>
      <c r="U49" s="231">
        <f t="shared" si="34"/>
        <v>5.9999999999999787</v>
      </c>
      <c r="V49" s="242">
        <f t="shared" si="33"/>
        <v>157</v>
      </c>
      <c r="W49" s="25"/>
      <c r="X49" s="25"/>
      <c r="Y49" s="28"/>
      <c r="Z49" s="28"/>
      <c r="AA49" s="568"/>
      <c r="AB49" s="569"/>
      <c r="AC49" s="50"/>
      <c r="AD49" s="27"/>
      <c r="AE49" s="20">
        <f t="shared" si="8"/>
        <v>-149.4267515923566</v>
      </c>
      <c r="AF49" s="230">
        <f t="shared" si="9"/>
        <v>0.95019108280254783</v>
      </c>
      <c r="AG49" s="585"/>
    </row>
    <row r="50" spans="1:33" ht="15.75" customHeight="1">
      <c r="A50" s="591" t="s">
        <v>61</v>
      </c>
      <c r="B50" s="39" t="s">
        <v>46</v>
      </c>
      <c r="C50" s="570"/>
      <c r="D50" s="571"/>
      <c r="E50" s="238"/>
      <c r="F50" s="243"/>
      <c r="G50" s="231"/>
      <c r="H50" s="243"/>
      <c r="I50" s="32">
        <v>10.75</v>
      </c>
      <c r="J50" s="43">
        <v>2750</v>
      </c>
      <c r="K50" s="18">
        <f t="shared" si="1"/>
        <v>255.81395348837211</v>
      </c>
      <c r="L50" s="32">
        <v>10.75</v>
      </c>
      <c r="M50" s="19">
        <f>AVERAGE(M46:M49)</f>
        <v>2618.6318505359391</v>
      </c>
      <c r="N50" s="18">
        <f t="shared" si="3"/>
        <v>243.59366051497108</v>
      </c>
      <c r="O50" s="20">
        <f t="shared" si="4"/>
        <v>0</v>
      </c>
      <c r="P50" s="21">
        <f t="shared" si="5"/>
        <v>-12.22029297340103</v>
      </c>
      <c r="Q50" s="230">
        <f t="shared" si="6"/>
        <v>0.95222976383125058</v>
      </c>
      <c r="R50" s="586"/>
      <c r="S50" s="49"/>
      <c r="T50" s="49"/>
      <c r="U50" s="231"/>
      <c r="V50" s="242"/>
      <c r="W50" s="25"/>
      <c r="X50" s="25"/>
      <c r="Y50" s="33">
        <f>SUM(Y46:Y49)</f>
        <v>0</v>
      </c>
      <c r="Z50" s="33">
        <f>SUM(Z46:Z49)</f>
        <v>0</v>
      </c>
      <c r="AA50" s="587"/>
      <c r="AB50" s="588"/>
      <c r="AC50" s="33">
        <v>4</v>
      </c>
      <c r="AD50" s="33">
        <f>SUM(AD46:AD49)</f>
        <v>0</v>
      </c>
      <c r="AE50" s="20">
        <f t="shared" si="8"/>
        <v>-131.36814946406093</v>
      </c>
      <c r="AF50" s="230">
        <f t="shared" si="9"/>
        <v>0.95222976383125058</v>
      </c>
      <c r="AG50" s="586"/>
    </row>
    <row r="51" spans="1:33" ht="15.75" customHeight="1">
      <c r="A51" s="582" t="s">
        <v>63</v>
      </c>
      <c r="B51" s="39" t="s">
        <v>79</v>
      </c>
      <c r="C51" s="574" t="s">
        <v>109</v>
      </c>
      <c r="D51" s="574"/>
      <c r="E51" s="39">
        <v>46</v>
      </c>
      <c r="F51" s="45">
        <v>2472</v>
      </c>
      <c r="G51" s="231">
        <f t="shared" ref="G51:G60" si="35">E51*F51</f>
        <v>113712</v>
      </c>
      <c r="H51" s="48" t="s">
        <v>126</v>
      </c>
      <c r="I51" s="241">
        <v>16</v>
      </c>
      <c r="J51" s="43">
        <v>2000</v>
      </c>
      <c r="K51" s="18">
        <f t="shared" si="1"/>
        <v>125</v>
      </c>
      <c r="L51" s="241">
        <v>16</v>
      </c>
      <c r="M51" s="19">
        <f t="shared" ref="M51" si="36">F51/V51*60</f>
        <v>1901.5384615384617</v>
      </c>
      <c r="N51" s="19">
        <f t="shared" si="3"/>
        <v>118.84615384615385</v>
      </c>
      <c r="O51" s="20">
        <f t="shared" si="4"/>
        <v>0</v>
      </c>
      <c r="P51" s="21">
        <f t="shared" si="5"/>
        <v>-6.1538461538461462</v>
      </c>
      <c r="Q51" s="230">
        <f t="shared" si="6"/>
        <v>0.95076923076923081</v>
      </c>
      <c r="R51" s="573">
        <f>Q61</f>
        <v>0.95697060409659962</v>
      </c>
      <c r="S51" s="49">
        <v>0.20833333333333334</v>
      </c>
      <c r="T51" s="49">
        <v>0.26250000000000001</v>
      </c>
      <c r="U51" s="30"/>
      <c r="V51" s="242">
        <f t="shared" ref="V51:V60" si="37">(T51-S51)*24*60</f>
        <v>78</v>
      </c>
      <c r="W51" s="30"/>
      <c r="X51" s="30"/>
      <c r="Y51" s="30"/>
      <c r="Z51" s="30"/>
      <c r="AA51" s="575"/>
      <c r="AB51" s="575"/>
      <c r="AC51" s="50">
        <v>10</v>
      </c>
      <c r="AD51" s="27"/>
      <c r="AE51" s="20">
        <f t="shared" si="8"/>
        <v>-98.461538461538339</v>
      </c>
      <c r="AF51" s="230">
        <f t="shared" si="9"/>
        <v>0.95076923076923081</v>
      </c>
      <c r="AG51" s="573">
        <f>AF61</f>
        <v>0.95697060409659973</v>
      </c>
    </row>
    <row r="52" spans="1:33" ht="15.75" customHeight="1">
      <c r="A52" s="582" t="s">
        <v>63</v>
      </c>
      <c r="B52" s="39" t="s">
        <v>74</v>
      </c>
      <c r="C52" s="574" t="s">
        <v>110</v>
      </c>
      <c r="D52" s="574"/>
      <c r="E52" s="39">
        <v>56.43</v>
      </c>
      <c r="F52" s="45">
        <v>1645</v>
      </c>
      <c r="G52" s="231">
        <f t="shared" si="35"/>
        <v>92827.35</v>
      </c>
      <c r="H52" s="48" t="s">
        <v>126</v>
      </c>
      <c r="I52" s="241">
        <v>22</v>
      </c>
      <c r="J52" s="43">
        <v>2000</v>
      </c>
      <c r="K52" s="18">
        <f t="shared" si="1"/>
        <v>90.909090909090907</v>
      </c>
      <c r="L52" s="241">
        <v>22</v>
      </c>
      <c r="M52" s="19">
        <f>F52/V52*60</f>
        <v>1935.2941176470599</v>
      </c>
      <c r="N52" s="19">
        <f t="shared" si="3"/>
        <v>87.967914438502717</v>
      </c>
      <c r="O52" s="20">
        <f t="shared" si="4"/>
        <v>0</v>
      </c>
      <c r="P52" s="21">
        <f t="shared" si="5"/>
        <v>-2.9411764705881893</v>
      </c>
      <c r="Q52" s="230">
        <f t="shared" si="6"/>
        <v>0.96764705882352997</v>
      </c>
      <c r="R52" s="573"/>
      <c r="S52" s="49">
        <v>0.26597222222222222</v>
      </c>
      <c r="T52" s="49">
        <v>0.30138888888888887</v>
      </c>
      <c r="U52" s="231">
        <f t="shared" ref="U52:U60" si="38">IF(S52=TIME(17,0,0),"",(S52-T51)*24*60)</f>
        <v>4.9999999999999822</v>
      </c>
      <c r="V52" s="242">
        <f t="shared" si="37"/>
        <v>50.999999999999979</v>
      </c>
      <c r="W52" s="25"/>
      <c r="X52" s="25"/>
      <c r="Y52" s="25"/>
      <c r="Z52" s="25"/>
      <c r="AA52" s="575"/>
      <c r="AB52" s="575"/>
      <c r="AC52" s="50"/>
      <c r="AD52" s="27"/>
      <c r="AE52" s="20">
        <f t="shared" si="8"/>
        <v>-64.70588235294008</v>
      </c>
      <c r="AF52" s="230">
        <f t="shared" si="9"/>
        <v>0.96764705882352997</v>
      </c>
      <c r="AG52" s="573"/>
    </row>
    <row r="53" spans="1:33" ht="15.75" customHeight="1">
      <c r="A53" s="582" t="s">
        <v>63</v>
      </c>
      <c r="B53" s="39" t="s">
        <v>74</v>
      </c>
      <c r="C53" s="566" t="s">
        <v>111</v>
      </c>
      <c r="D53" s="567"/>
      <c r="E53" s="39">
        <v>51.75</v>
      </c>
      <c r="F53" s="45">
        <v>993</v>
      </c>
      <c r="G53" s="231">
        <f t="shared" si="35"/>
        <v>51387.75</v>
      </c>
      <c r="H53" s="48" t="s">
        <v>126</v>
      </c>
      <c r="I53" s="241">
        <v>25</v>
      </c>
      <c r="J53" s="43">
        <v>2000</v>
      </c>
      <c r="K53" s="18">
        <f t="shared" si="1"/>
        <v>80</v>
      </c>
      <c r="L53" s="241">
        <v>25</v>
      </c>
      <c r="M53" s="19">
        <f t="shared" ref="M53:M60" si="39">F53/V53*60</f>
        <v>1921.9354838709694</v>
      </c>
      <c r="N53" s="19">
        <f t="shared" si="3"/>
        <v>76.877419354838779</v>
      </c>
      <c r="O53" s="20">
        <f t="shared" si="4"/>
        <v>0</v>
      </c>
      <c r="P53" s="21">
        <f t="shared" si="5"/>
        <v>-3.1225806451612215</v>
      </c>
      <c r="Q53" s="230">
        <f t="shared" si="6"/>
        <v>0.96096774193548473</v>
      </c>
      <c r="R53" s="573"/>
      <c r="S53" s="49">
        <v>0.30555555555555552</v>
      </c>
      <c r="T53" s="49">
        <v>0.32708333333333328</v>
      </c>
      <c r="U53" s="231">
        <f t="shared" si="38"/>
        <v>5.9999999999999787</v>
      </c>
      <c r="V53" s="242">
        <f t="shared" si="37"/>
        <v>30.999999999999972</v>
      </c>
      <c r="W53" s="25"/>
      <c r="X53" s="25"/>
      <c r="Y53" s="28"/>
      <c r="Z53" s="28"/>
      <c r="AA53" s="575"/>
      <c r="AB53" s="575"/>
      <c r="AC53" s="50"/>
      <c r="AD53" s="27"/>
      <c r="AE53" s="20">
        <f t="shared" si="8"/>
        <v>-78.064516129030608</v>
      </c>
      <c r="AF53" s="230">
        <f t="shared" si="9"/>
        <v>0.96096774193548473</v>
      </c>
      <c r="AG53" s="573"/>
    </row>
    <row r="54" spans="1:33" ht="15.75" customHeight="1">
      <c r="A54" s="582" t="s">
        <v>63</v>
      </c>
      <c r="B54" s="39" t="s">
        <v>74</v>
      </c>
      <c r="C54" s="232" t="s">
        <v>88</v>
      </c>
      <c r="D54" s="233"/>
      <c r="E54" s="39">
        <v>59.04</v>
      </c>
      <c r="F54" s="45">
        <v>3300</v>
      </c>
      <c r="G54" s="231">
        <f t="shared" si="35"/>
        <v>194832</v>
      </c>
      <c r="H54" s="48">
        <v>2</v>
      </c>
      <c r="I54" s="241">
        <v>19</v>
      </c>
      <c r="J54" s="43">
        <v>2000</v>
      </c>
      <c r="K54" s="18">
        <f t="shared" si="1"/>
        <v>105.26315789473684</v>
      </c>
      <c r="L54" s="241">
        <v>19</v>
      </c>
      <c r="M54" s="19">
        <f t="shared" si="39"/>
        <v>1903.8461538461534</v>
      </c>
      <c r="N54" s="19">
        <f t="shared" si="3"/>
        <v>100.20242914979754</v>
      </c>
      <c r="O54" s="20">
        <f t="shared" si="4"/>
        <v>0</v>
      </c>
      <c r="P54" s="21">
        <f t="shared" si="5"/>
        <v>-5.060728744939297</v>
      </c>
      <c r="Q54" s="230">
        <f t="shared" si="6"/>
        <v>0.95192307692307665</v>
      </c>
      <c r="R54" s="573"/>
      <c r="S54" s="49">
        <v>0.33124999999999993</v>
      </c>
      <c r="T54" s="49">
        <v>0.40347222222222218</v>
      </c>
      <c r="U54" s="231">
        <f t="shared" si="38"/>
        <v>5.9999999999999787</v>
      </c>
      <c r="V54" s="242">
        <f t="shared" si="37"/>
        <v>104.00000000000003</v>
      </c>
      <c r="W54" s="25"/>
      <c r="X54" s="25"/>
      <c r="Y54" s="28"/>
      <c r="Z54" s="28"/>
      <c r="AA54" s="575"/>
      <c r="AB54" s="575"/>
      <c r="AC54" s="50"/>
      <c r="AD54" s="27"/>
      <c r="AE54" s="20">
        <f t="shared" si="8"/>
        <v>-96.153846153846644</v>
      </c>
      <c r="AF54" s="230">
        <f t="shared" si="9"/>
        <v>0.95192307692307665</v>
      </c>
      <c r="AG54" s="573"/>
    </row>
    <row r="55" spans="1:33" ht="15.75" customHeight="1">
      <c r="A55" s="582" t="s">
        <v>63</v>
      </c>
      <c r="B55" s="39" t="s">
        <v>79</v>
      </c>
      <c r="C55" s="232" t="s">
        <v>1233</v>
      </c>
      <c r="D55" s="233"/>
      <c r="E55" s="39">
        <v>46</v>
      </c>
      <c r="F55" s="45">
        <v>3000</v>
      </c>
      <c r="G55" s="231">
        <f t="shared" si="35"/>
        <v>138000</v>
      </c>
      <c r="H55" s="48">
        <v>2</v>
      </c>
      <c r="I55" s="241">
        <v>16</v>
      </c>
      <c r="J55" s="43">
        <v>2000</v>
      </c>
      <c r="K55" s="18">
        <f t="shared" si="1"/>
        <v>125</v>
      </c>
      <c r="L55" s="241">
        <v>16</v>
      </c>
      <c r="M55" s="19">
        <f t="shared" si="39"/>
        <v>1914.8936170212769</v>
      </c>
      <c r="N55" s="19">
        <f t="shared" si="3"/>
        <v>119.68085106382981</v>
      </c>
      <c r="O55" s="20">
        <f t="shared" si="4"/>
        <v>0</v>
      </c>
      <c r="P55" s="21">
        <f t="shared" si="5"/>
        <v>-5.319148936170194</v>
      </c>
      <c r="Q55" s="230">
        <f t="shared" si="6"/>
        <v>0.95744680851063846</v>
      </c>
      <c r="R55" s="573"/>
      <c r="S55" s="49">
        <v>0.40833333333333327</v>
      </c>
      <c r="T55" s="49">
        <v>0.47361111111111104</v>
      </c>
      <c r="U55" s="231">
        <f t="shared" si="38"/>
        <v>6.9999999999999751</v>
      </c>
      <c r="V55" s="242">
        <f t="shared" si="37"/>
        <v>93.999999999999986</v>
      </c>
      <c r="W55" s="25">
        <f>T55</f>
        <v>0.47361111111111104</v>
      </c>
      <c r="X55" s="25">
        <f>S56</f>
        <v>0.51388888888888884</v>
      </c>
      <c r="Y55" s="28"/>
      <c r="Z55" s="28"/>
      <c r="AA55" s="575"/>
      <c r="AB55" s="575"/>
      <c r="AC55" s="50"/>
      <c r="AD55" s="27"/>
      <c r="AE55" s="20">
        <f t="shared" si="8"/>
        <v>-85.106382978723104</v>
      </c>
      <c r="AF55" s="230">
        <f t="shared" si="9"/>
        <v>0.95744680851063846</v>
      </c>
      <c r="AG55" s="573"/>
    </row>
    <row r="56" spans="1:33" ht="15.75" customHeight="1">
      <c r="A56" s="582" t="s">
        <v>63</v>
      </c>
      <c r="B56" s="39" t="s">
        <v>79</v>
      </c>
      <c r="C56" s="566" t="s">
        <v>1233</v>
      </c>
      <c r="D56" s="567"/>
      <c r="E56" s="39">
        <v>46</v>
      </c>
      <c r="F56" s="45">
        <v>1917</v>
      </c>
      <c r="G56" s="231">
        <f t="shared" si="35"/>
        <v>88182</v>
      </c>
      <c r="H56" s="48" t="s">
        <v>126</v>
      </c>
      <c r="I56" s="241">
        <v>16</v>
      </c>
      <c r="J56" s="43">
        <v>2000</v>
      </c>
      <c r="K56" s="18">
        <f t="shared" si="1"/>
        <v>125</v>
      </c>
      <c r="L56" s="241">
        <v>16</v>
      </c>
      <c r="M56" s="19">
        <f t="shared" si="39"/>
        <v>1917.0000000000018</v>
      </c>
      <c r="N56" s="19">
        <f t="shared" si="3"/>
        <v>119.81250000000011</v>
      </c>
      <c r="O56" s="20">
        <f t="shared" si="4"/>
        <v>0</v>
      </c>
      <c r="P56" s="21">
        <f t="shared" si="5"/>
        <v>-5.1874999999998863</v>
      </c>
      <c r="Q56" s="230">
        <f t="shared" si="6"/>
        <v>0.95850000000000091</v>
      </c>
      <c r="R56" s="573"/>
      <c r="S56" s="49">
        <v>0.51388888888888884</v>
      </c>
      <c r="T56" s="49">
        <v>0.55555555555555547</v>
      </c>
      <c r="U56" s="231">
        <f t="shared" si="38"/>
        <v>58.000000000000036</v>
      </c>
      <c r="V56" s="242">
        <f t="shared" si="37"/>
        <v>59.999999999999943</v>
      </c>
      <c r="W56" s="25"/>
      <c r="X56" s="25"/>
      <c r="Y56" s="28"/>
      <c r="Z56" s="28"/>
      <c r="AA56" s="568"/>
      <c r="AB56" s="569"/>
      <c r="AC56" s="50"/>
      <c r="AD56" s="27"/>
      <c r="AE56" s="20">
        <f t="shared" si="8"/>
        <v>-82.999999999998181</v>
      </c>
      <c r="AF56" s="230">
        <f t="shared" si="9"/>
        <v>0.95850000000000091</v>
      </c>
      <c r="AG56" s="573"/>
    </row>
    <row r="57" spans="1:33" ht="15.75" customHeight="1">
      <c r="A57" s="582" t="s">
        <v>63</v>
      </c>
      <c r="B57" s="39" t="s">
        <v>74</v>
      </c>
      <c r="C57" s="566" t="s">
        <v>88</v>
      </c>
      <c r="D57" s="567"/>
      <c r="E57" s="39">
        <v>59.04</v>
      </c>
      <c r="F57" s="45">
        <v>2639</v>
      </c>
      <c r="G57" s="231">
        <f t="shared" si="35"/>
        <v>155806.56</v>
      </c>
      <c r="H57" s="48" t="s">
        <v>126</v>
      </c>
      <c r="I57" s="241">
        <v>19</v>
      </c>
      <c r="J57" s="43">
        <v>2000</v>
      </c>
      <c r="K57" s="18">
        <f t="shared" si="1"/>
        <v>105.26315789473684</v>
      </c>
      <c r="L57" s="241">
        <v>19</v>
      </c>
      <c r="M57" s="19">
        <f t="shared" si="39"/>
        <v>1907.7108433734934</v>
      </c>
      <c r="N57" s="19">
        <f t="shared" si="3"/>
        <v>100.40583386176282</v>
      </c>
      <c r="O57" s="20">
        <f t="shared" si="4"/>
        <v>0</v>
      </c>
      <c r="P57" s="21">
        <f t="shared" si="5"/>
        <v>-4.8573240329740202</v>
      </c>
      <c r="Q57" s="230">
        <f t="shared" si="6"/>
        <v>0.95385542168674675</v>
      </c>
      <c r="R57" s="573"/>
      <c r="S57" s="49">
        <v>0.56111111111111101</v>
      </c>
      <c r="T57" s="49">
        <v>0.61874999999999991</v>
      </c>
      <c r="U57" s="231">
        <f t="shared" si="38"/>
        <v>7.9999999999999716</v>
      </c>
      <c r="V57" s="242">
        <f t="shared" si="37"/>
        <v>83.000000000000028</v>
      </c>
      <c r="W57" s="25"/>
      <c r="X57" s="25"/>
      <c r="Y57" s="28"/>
      <c r="Z57" s="28"/>
      <c r="AA57" s="568"/>
      <c r="AB57" s="569"/>
      <c r="AC57" s="50"/>
      <c r="AD57" s="27"/>
      <c r="AE57" s="20">
        <f t="shared" si="8"/>
        <v>-92.28915662650661</v>
      </c>
      <c r="AF57" s="230">
        <f t="shared" si="9"/>
        <v>0.95385542168674664</v>
      </c>
      <c r="AG57" s="573"/>
    </row>
    <row r="58" spans="1:33" ht="15.75" customHeight="1">
      <c r="A58" s="582" t="s">
        <v>63</v>
      </c>
      <c r="B58" s="39" t="s">
        <v>74</v>
      </c>
      <c r="C58" s="566" t="s">
        <v>112</v>
      </c>
      <c r="D58" s="567"/>
      <c r="E58" s="39">
        <v>55.32</v>
      </c>
      <c r="F58" s="45">
        <v>1759</v>
      </c>
      <c r="G58" s="231">
        <f t="shared" si="35"/>
        <v>97307.88</v>
      </c>
      <c r="H58" s="48" t="s">
        <v>126</v>
      </c>
      <c r="I58" s="241">
        <v>15</v>
      </c>
      <c r="J58" s="43">
        <v>2000</v>
      </c>
      <c r="K58" s="18">
        <f t="shared" si="1"/>
        <v>133.33333333333334</v>
      </c>
      <c r="L58" s="241">
        <v>15</v>
      </c>
      <c r="M58" s="19">
        <f t="shared" si="39"/>
        <v>1918.9090909090921</v>
      </c>
      <c r="N58" s="19">
        <f t="shared" si="3"/>
        <v>127.92727272727281</v>
      </c>
      <c r="O58" s="20">
        <f t="shared" si="4"/>
        <v>0</v>
      </c>
      <c r="P58" s="21">
        <f t="shared" si="5"/>
        <v>-5.4060606060605352</v>
      </c>
      <c r="Q58" s="230">
        <f t="shared" si="6"/>
        <v>0.959454545454546</v>
      </c>
      <c r="R58" s="573"/>
      <c r="S58" s="49">
        <v>0.70833333333333337</v>
      </c>
      <c r="T58" s="49">
        <v>0.74652777777777779</v>
      </c>
      <c r="U58" s="231" t="str">
        <f t="shared" si="38"/>
        <v/>
      </c>
      <c r="V58" s="242">
        <f t="shared" si="37"/>
        <v>54.999999999999964</v>
      </c>
      <c r="W58" s="25"/>
      <c r="X58" s="25"/>
      <c r="Y58" s="28"/>
      <c r="Z58" s="28"/>
      <c r="AA58" s="568"/>
      <c r="AB58" s="569"/>
      <c r="AC58" s="50"/>
      <c r="AD58" s="27"/>
      <c r="AE58" s="20">
        <f t="shared" si="8"/>
        <v>-81.090909090907871</v>
      </c>
      <c r="AF58" s="230">
        <f t="shared" si="9"/>
        <v>0.95945454545454611</v>
      </c>
      <c r="AG58" s="573"/>
    </row>
    <row r="59" spans="1:33">
      <c r="A59" s="582" t="s">
        <v>63</v>
      </c>
      <c r="B59" s="39" t="s">
        <v>74</v>
      </c>
      <c r="C59" s="232" t="s">
        <v>113</v>
      </c>
      <c r="D59" s="233"/>
      <c r="E59" s="39">
        <v>55.56</v>
      </c>
      <c r="F59" s="45">
        <v>2297</v>
      </c>
      <c r="G59" s="231">
        <f t="shared" si="35"/>
        <v>127621.32</v>
      </c>
      <c r="H59" s="48" t="s">
        <v>126</v>
      </c>
      <c r="I59" s="241">
        <v>17</v>
      </c>
      <c r="J59" s="43">
        <v>2000</v>
      </c>
      <c r="K59" s="18">
        <f t="shared" si="1"/>
        <v>117.64705882352941</v>
      </c>
      <c r="L59" s="241">
        <v>17</v>
      </c>
      <c r="M59" s="19">
        <f t="shared" si="39"/>
        <v>1914.1666666666652</v>
      </c>
      <c r="N59" s="19">
        <f t="shared" si="3"/>
        <v>112.59803921568619</v>
      </c>
      <c r="O59" s="20">
        <f t="shared" si="4"/>
        <v>0</v>
      </c>
      <c r="P59" s="21">
        <f t="shared" si="5"/>
        <v>-5.0490196078432206</v>
      </c>
      <c r="Q59" s="230">
        <f t="shared" si="6"/>
        <v>0.95708333333333262</v>
      </c>
      <c r="R59" s="573"/>
      <c r="S59" s="49">
        <v>0.75138888888888888</v>
      </c>
      <c r="T59" s="49">
        <v>0.80138888888888893</v>
      </c>
      <c r="U59" s="231">
        <f t="shared" si="38"/>
        <v>6.9999999999999751</v>
      </c>
      <c r="V59" s="242">
        <f t="shared" si="37"/>
        <v>72.000000000000057</v>
      </c>
      <c r="W59" s="25"/>
      <c r="X59" s="25"/>
      <c r="Y59" s="28"/>
      <c r="Z59" s="28"/>
      <c r="AA59" s="234"/>
      <c r="AB59" s="235"/>
      <c r="AC59" s="50"/>
      <c r="AD59" s="27"/>
      <c r="AE59" s="20">
        <f t="shared" si="8"/>
        <v>-85.833333333334849</v>
      </c>
      <c r="AF59" s="230">
        <f t="shared" si="9"/>
        <v>0.95708333333333262</v>
      </c>
      <c r="AG59" s="573"/>
    </row>
    <row r="60" spans="1:33">
      <c r="A60" s="582" t="s">
        <v>63</v>
      </c>
      <c r="B60" s="39" t="s">
        <v>74</v>
      </c>
      <c r="C60" s="566" t="s">
        <v>114</v>
      </c>
      <c r="D60" s="567"/>
      <c r="E60" s="39">
        <v>54.29</v>
      </c>
      <c r="F60" s="45">
        <v>1079</v>
      </c>
      <c r="G60" s="231">
        <f t="shared" si="35"/>
        <v>58578.909999999996</v>
      </c>
      <c r="H60" s="48" t="s">
        <v>126</v>
      </c>
      <c r="I60" s="241">
        <v>20</v>
      </c>
      <c r="J60" s="43">
        <v>2000</v>
      </c>
      <c r="K60" s="18">
        <f t="shared" si="1"/>
        <v>100</v>
      </c>
      <c r="L60" s="241">
        <v>20</v>
      </c>
      <c r="M60" s="19">
        <f t="shared" si="39"/>
        <v>1904.1176470588211</v>
      </c>
      <c r="N60" s="19">
        <f t="shared" si="3"/>
        <v>95.20588235294106</v>
      </c>
      <c r="O60" s="20">
        <f t="shared" si="4"/>
        <v>0</v>
      </c>
      <c r="P60" s="21">
        <f t="shared" si="5"/>
        <v>-4.7941176470589397</v>
      </c>
      <c r="Q60" s="230">
        <f t="shared" si="6"/>
        <v>0.95205882352941062</v>
      </c>
      <c r="R60" s="573"/>
      <c r="S60" s="49">
        <v>0.80625000000000002</v>
      </c>
      <c r="T60" s="49">
        <v>0.82986111111111116</v>
      </c>
      <c r="U60" s="231">
        <f t="shared" si="38"/>
        <v>6.9999999999999751</v>
      </c>
      <c r="V60" s="242">
        <f t="shared" si="37"/>
        <v>34.000000000000043</v>
      </c>
      <c r="W60" s="25"/>
      <c r="X60" s="25"/>
      <c r="Y60" s="28"/>
      <c r="Z60" s="28"/>
      <c r="AA60" s="568"/>
      <c r="AB60" s="569"/>
      <c r="AC60" s="50"/>
      <c r="AD60" s="27"/>
      <c r="AE60" s="20">
        <f t="shared" si="8"/>
        <v>-95.882352941178851</v>
      </c>
      <c r="AF60" s="230">
        <f t="shared" si="9"/>
        <v>0.95205882352941062</v>
      </c>
      <c r="AG60" s="573"/>
    </row>
    <row r="61" spans="1:33">
      <c r="A61" s="583" t="s">
        <v>63</v>
      </c>
      <c r="B61" s="39" t="s">
        <v>46</v>
      </c>
      <c r="C61" s="576"/>
      <c r="D61" s="576"/>
      <c r="E61" s="236"/>
      <c r="F61" s="42"/>
      <c r="G61" s="18"/>
      <c r="H61" s="243"/>
      <c r="I61" s="32">
        <v>18.5</v>
      </c>
      <c r="J61" s="43">
        <v>2000</v>
      </c>
      <c r="K61" s="18">
        <f t="shared" si="1"/>
        <v>108.10810810810811</v>
      </c>
      <c r="L61" s="32">
        <v>18.5</v>
      </c>
      <c r="M61" s="19">
        <f>AVERAGE(M51:M60)</f>
        <v>1913.9412081931994</v>
      </c>
      <c r="N61" s="18">
        <f t="shared" si="3"/>
        <v>103.45628152395672</v>
      </c>
      <c r="O61" s="20">
        <f t="shared" si="4"/>
        <v>0</v>
      </c>
      <c r="P61" s="21">
        <f t="shared" si="5"/>
        <v>-4.6518265841513937</v>
      </c>
      <c r="Q61" s="230">
        <f t="shared" si="6"/>
        <v>0.95697060409659962</v>
      </c>
      <c r="R61" s="573"/>
      <c r="S61" s="49"/>
      <c r="T61" s="49"/>
      <c r="U61" s="231"/>
      <c r="V61" s="242"/>
      <c r="W61" s="18"/>
      <c r="X61" s="18"/>
      <c r="Y61" s="33">
        <f>SUM(Y51:Y60)</f>
        <v>0</v>
      </c>
      <c r="Z61" s="33">
        <f>SUM(Z51:Z60)</f>
        <v>0</v>
      </c>
      <c r="AA61" s="572"/>
      <c r="AB61" s="572"/>
      <c r="AC61" s="33">
        <v>10</v>
      </c>
      <c r="AD61" s="33">
        <f>SUM(AD51:AD60)</f>
        <v>0</v>
      </c>
      <c r="AE61" s="20">
        <f>M61-J61</f>
        <v>-86.058791806800627</v>
      </c>
      <c r="AF61" s="230">
        <f t="shared" si="9"/>
        <v>0.95697060409659973</v>
      </c>
      <c r="AG61" s="573"/>
    </row>
    <row r="62" spans="1:33" ht="15.75" customHeight="1">
      <c r="A62" s="580" t="s">
        <v>66</v>
      </c>
      <c r="B62" s="243" t="s">
        <v>104</v>
      </c>
      <c r="C62" s="574" t="s">
        <v>115</v>
      </c>
      <c r="D62" s="574"/>
      <c r="E62" s="39">
        <v>34.36</v>
      </c>
      <c r="F62" s="45">
        <v>2389</v>
      </c>
      <c r="G62" s="231">
        <f t="shared" ref="G62:G67" si="40">E62*F62</f>
        <v>82086.039999999994</v>
      </c>
      <c r="H62" s="48" t="s">
        <v>126</v>
      </c>
      <c r="I62" s="241">
        <v>10</v>
      </c>
      <c r="J62" s="43">
        <v>3000</v>
      </c>
      <c r="K62" s="18">
        <f t="shared" si="1"/>
        <v>300</v>
      </c>
      <c r="L62" s="241">
        <v>10</v>
      </c>
      <c r="M62" s="19">
        <f t="shared" ref="M62:M67" si="41">F62/V62*60</f>
        <v>2866.7999999999988</v>
      </c>
      <c r="N62" s="18">
        <f t="shared" si="3"/>
        <v>286.67999999999989</v>
      </c>
      <c r="O62" s="20">
        <f t="shared" si="4"/>
        <v>0</v>
      </c>
      <c r="P62" s="21">
        <f t="shared" si="5"/>
        <v>-13.320000000000107</v>
      </c>
      <c r="Q62" s="230">
        <f t="shared" si="6"/>
        <v>0.95559999999999967</v>
      </c>
      <c r="R62" s="573">
        <f>Q68</f>
        <v>0.961837578013928</v>
      </c>
      <c r="S62" s="49">
        <v>0.20833333333333334</v>
      </c>
      <c r="T62" s="49">
        <v>0.24305555555555558</v>
      </c>
      <c r="U62" s="231"/>
      <c r="V62" s="242">
        <f t="shared" ref="V62:V67" si="42">(T62-S62)*24*60</f>
        <v>50.000000000000021</v>
      </c>
      <c r="W62" s="30"/>
      <c r="X62" s="30"/>
      <c r="Y62" s="30"/>
      <c r="Z62" s="30"/>
      <c r="AA62" s="575"/>
      <c r="AB62" s="575"/>
      <c r="AC62" s="50">
        <v>6</v>
      </c>
      <c r="AD62" s="27"/>
      <c r="AE62" s="20">
        <f t="shared" ref="AE62:AE76" si="43">M62-J62</f>
        <v>-133.20000000000118</v>
      </c>
      <c r="AF62" s="230">
        <f t="shared" si="9"/>
        <v>0.95559999999999956</v>
      </c>
      <c r="AG62" s="573">
        <f>AF68</f>
        <v>0.961837578013928</v>
      </c>
    </row>
    <row r="63" spans="1:33" ht="15.75" customHeight="1">
      <c r="A63" s="580" t="s">
        <v>66</v>
      </c>
      <c r="B63" s="243" t="s">
        <v>104</v>
      </c>
      <c r="C63" s="574" t="s">
        <v>116</v>
      </c>
      <c r="D63" s="574"/>
      <c r="E63" s="39">
        <v>34.36</v>
      </c>
      <c r="F63" s="45">
        <v>1187</v>
      </c>
      <c r="G63" s="231">
        <f t="shared" si="40"/>
        <v>40785.32</v>
      </c>
      <c r="H63" s="48" t="s">
        <v>126</v>
      </c>
      <c r="I63" s="241">
        <v>10</v>
      </c>
      <c r="J63" s="43">
        <v>3000</v>
      </c>
      <c r="K63" s="18">
        <f t="shared" si="1"/>
        <v>300</v>
      </c>
      <c r="L63" s="241">
        <v>10</v>
      </c>
      <c r="M63" s="19">
        <f t="shared" si="41"/>
        <v>2967.4999999999955</v>
      </c>
      <c r="N63" s="18">
        <f t="shared" si="3"/>
        <v>296.74999999999955</v>
      </c>
      <c r="O63" s="20">
        <f t="shared" si="4"/>
        <v>0</v>
      </c>
      <c r="P63" s="21">
        <f t="shared" si="5"/>
        <v>-3.2500000000004547</v>
      </c>
      <c r="Q63" s="230">
        <f t="shared" si="6"/>
        <v>0.9891666666666652</v>
      </c>
      <c r="R63" s="573"/>
      <c r="S63" s="49">
        <v>0.24722222222222226</v>
      </c>
      <c r="T63" s="49">
        <v>0.26388888888888895</v>
      </c>
      <c r="U63" s="231">
        <f t="shared" ref="U63:U67" si="44">(S63-T62)*24*60</f>
        <v>6.0000000000000187</v>
      </c>
      <c r="V63" s="242">
        <f t="shared" si="42"/>
        <v>24.000000000000036</v>
      </c>
      <c r="W63" s="231"/>
      <c r="X63" s="231"/>
      <c r="Y63" s="231"/>
      <c r="Z63" s="231"/>
      <c r="AA63" s="575"/>
      <c r="AB63" s="575"/>
      <c r="AC63" s="50"/>
      <c r="AD63" s="27"/>
      <c r="AE63" s="20">
        <f t="shared" si="43"/>
        <v>-32.500000000004547</v>
      </c>
      <c r="AF63" s="230">
        <f t="shared" si="9"/>
        <v>0.9891666666666652</v>
      </c>
      <c r="AG63" s="573"/>
    </row>
    <row r="64" spans="1:33" ht="15.75" customHeight="1">
      <c r="A64" s="580" t="s">
        <v>66</v>
      </c>
      <c r="B64" s="243" t="s">
        <v>104</v>
      </c>
      <c r="C64" s="574" t="s">
        <v>117</v>
      </c>
      <c r="D64" s="574"/>
      <c r="E64" s="39">
        <v>26.78</v>
      </c>
      <c r="F64" s="45">
        <v>2539</v>
      </c>
      <c r="G64" s="231">
        <f t="shared" si="40"/>
        <v>67994.42</v>
      </c>
      <c r="H64" s="48" t="s">
        <v>126</v>
      </c>
      <c r="I64" s="241">
        <v>10</v>
      </c>
      <c r="J64" s="43">
        <v>3000</v>
      </c>
      <c r="K64" s="18">
        <f t="shared" si="1"/>
        <v>300</v>
      </c>
      <c r="L64" s="241">
        <v>10</v>
      </c>
      <c r="M64" s="19">
        <f t="shared" si="41"/>
        <v>2874.3396226415107</v>
      </c>
      <c r="N64" s="18">
        <f t="shared" si="3"/>
        <v>287.43396226415109</v>
      </c>
      <c r="O64" s="20">
        <f t="shared" si="4"/>
        <v>0</v>
      </c>
      <c r="P64" s="21">
        <f t="shared" si="5"/>
        <v>-12.566037735848909</v>
      </c>
      <c r="Q64" s="230">
        <f t="shared" si="6"/>
        <v>0.95811320754717033</v>
      </c>
      <c r="R64" s="573"/>
      <c r="S64" s="49">
        <v>0.26944444444444449</v>
      </c>
      <c r="T64" s="49">
        <v>0.30625000000000002</v>
      </c>
      <c r="U64" s="231">
        <f t="shared" si="44"/>
        <v>7.9999999999999716</v>
      </c>
      <c r="V64" s="242">
        <f t="shared" si="42"/>
        <v>52.999999999999972</v>
      </c>
      <c r="W64" s="231"/>
      <c r="X64" s="231"/>
      <c r="Y64" s="231"/>
      <c r="Z64" s="231"/>
      <c r="AA64" s="575"/>
      <c r="AB64" s="575"/>
      <c r="AC64" s="50"/>
      <c r="AD64" s="27"/>
      <c r="AE64" s="20">
        <f t="shared" si="43"/>
        <v>-125.66037735848931</v>
      </c>
      <c r="AF64" s="230">
        <f t="shared" si="9"/>
        <v>0.95811320754717022</v>
      </c>
      <c r="AG64" s="573"/>
    </row>
    <row r="65" spans="1:33" ht="15.75" customHeight="1">
      <c r="A65" s="580" t="s">
        <v>66</v>
      </c>
      <c r="B65" s="243" t="s">
        <v>104</v>
      </c>
      <c r="C65" s="574" t="s">
        <v>118</v>
      </c>
      <c r="D65" s="574"/>
      <c r="E65" s="39">
        <v>37.880000000000003</v>
      </c>
      <c r="F65" s="45">
        <v>1441</v>
      </c>
      <c r="G65" s="231">
        <f t="shared" si="40"/>
        <v>54585.08</v>
      </c>
      <c r="H65" s="48" t="s">
        <v>126</v>
      </c>
      <c r="I65" s="241">
        <v>10</v>
      </c>
      <c r="J65" s="43">
        <v>3000</v>
      </c>
      <c r="K65" s="18">
        <f t="shared" si="1"/>
        <v>300</v>
      </c>
      <c r="L65" s="241">
        <v>10</v>
      </c>
      <c r="M65" s="19">
        <f t="shared" si="41"/>
        <v>2882.0000000000027</v>
      </c>
      <c r="N65" s="18">
        <f t="shared" si="3"/>
        <v>288.20000000000027</v>
      </c>
      <c r="O65" s="20">
        <f t="shared" si="4"/>
        <v>0</v>
      </c>
      <c r="P65" s="21">
        <f t="shared" si="5"/>
        <v>-11.799999999999727</v>
      </c>
      <c r="Q65" s="230">
        <f t="shared" si="6"/>
        <v>0.96066666666666756</v>
      </c>
      <c r="R65" s="573"/>
      <c r="S65" s="49">
        <v>0.31180555555555556</v>
      </c>
      <c r="T65" s="49">
        <v>0.33263888888888887</v>
      </c>
      <c r="U65" s="231">
        <f t="shared" si="44"/>
        <v>7.9999999999999716</v>
      </c>
      <c r="V65" s="242">
        <f t="shared" si="42"/>
        <v>29.999999999999972</v>
      </c>
      <c r="W65" s="231"/>
      <c r="X65" s="231"/>
      <c r="Y65" s="231"/>
      <c r="Z65" s="231"/>
      <c r="AA65" s="575"/>
      <c r="AB65" s="575"/>
      <c r="AC65" s="50"/>
      <c r="AD65" s="27"/>
      <c r="AE65" s="20">
        <f t="shared" si="43"/>
        <v>-117.99999999999727</v>
      </c>
      <c r="AF65" s="230">
        <f t="shared" si="9"/>
        <v>0.96066666666666756</v>
      </c>
      <c r="AG65" s="573"/>
    </row>
    <row r="66" spans="1:33">
      <c r="A66" s="581" t="s">
        <v>66</v>
      </c>
      <c r="B66" s="243" t="s">
        <v>104</v>
      </c>
      <c r="C66" s="574" t="s">
        <v>119</v>
      </c>
      <c r="D66" s="574"/>
      <c r="E66" s="39">
        <v>35.869999999999997</v>
      </c>
      <c r="F66" s="45">
        <v>4137</v>
      </c>
      <c r="G66" s="231">
        <f t="shared" si="40"/>
        <v>148394.19</v>
      </c>
      <c r="H66" s="48" t="s">
        <v>126</v>
      </c>
      <c r="I66" s="241">
        <v>9</v>
      </c>
      <c r="J66" s="43">
        <v>3000</v>
      </c>
      <c r="K66" s="18">
        <f t="shared" si="1"/>
        <v>333.33333333333331</v>
      </c>
      <c r="L66" s="241">
        <v>9</v>
      </c>
      <c r="M66" s="19">
        <f t="shared" si="41"/>
        <v>2853.1034482758614</v>
      </c>
      <c r="N66" s="18">
        <f t="shared" si="3"/>
        <v>317.01149425287349</v>
      </c>
      <c r="O66" s="20">
        <f t="shared" si="4"/>
        <v>0</v>
      </c>
      <c r="P66" s="21">
        <f t="shared" si="5"/>
        <v>-16.321839080459824</v>
      </c>
      <c r="Q66" s="230">
        <f t="shared" si="6"/>
        <v>0.95103448275862057</v>
      </c>
      <c r="R66" s="573"/>
      <c r="S66" s="49">
        <v>0.33749999999999997</v>
      </c>
      <c r="T66" s="49">
        <v>0.39791666666666664</v>
      </c>
      <c r="U66" s="231">
        <f t="shared" si="44"/>
        <v>6.9999999999999751</v>
      </c>
      <c r="V66" s="242">
        <f t="shared" si="42"/>
        <v>87.000000000000014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-146.89655172413859</v>
      </c>
      <c r="AF66" s="230">
        <f t="shared" si="9"/>
        <v>0.95103448275862046</v>
      </c>
      <c r="AG66" s="573"/>
    </row>
    <row r="67" spans="1:33" ht="15" customHeight="1">
      <c r="A67" s="581" t="s">
        <v>66</v>
      </c>
      <c r="B67" s="243" t="s">
        <v>104</v>
      </c>
      <c r="C67" s="566" t="s">
        <v>120</v>
      </c>
      <c r="D67" s="567"/>
      <c r="E67" s="39">
        <v>34.35</v>
      </c>
      <c r="F67" s="45">
        <v>2152</v>
      </c>
      <c r="G67" s="231">
        <f t="shared" si="40"/>
        <v>73921.2</v>
      </c>
      <c r="H67" s="48" t="s">
        <v>126</v>
      </c>
      <c r="I67" s="241">
        <v>8</v>
      </c>
      <c r="J67" s="43">
        <v>3000</v>
      </c>
      <c r="K67" s="18">
        <f t="shared" si="1"/>
        <v>375</v>
      </c>
      <c r="L67" s="241">
        <v>8</v>
      </c>
      <c r="M67" s="19">
        <f t="shared" si="41"/>
        <v>2869.3333333333335</v>
      </c>
      <c r="N67" s="18">
        <f t="shared" si="3"/>
        <v>358.66666666666669</v>
      </c>
      <c r="O67" s="20">
        <f t="shared" si="4"/>
        <v>0</v>
      </c>
      <c r="P67" s="21">
        <f t="shared" si="5"/>
        <v>-16.333333333333314</v>
      </c>
      <c r="Q67" s="230">
        <f t="shared" si="6"/>
        <v>0.95644444444444454</v>
      </c>
      <c r="R67" s="573"/>
      <c r="S67" s="49">
        <v>0.40277777777777773</v>
      </c>
      <c r="T67" s="49">
        <v>0.43402777777777773</v>
      </c>
      <c r="U67" s="231">
        <f t="shared" si="44"/>
        <v>6.9999999999999751</v>
      </c>
      <c r="V67" s="242">
        <f t="shared" si="42"/>
        <v>45</v>
      </c>
      <c r="W67" s="231"/>
      <c r="X67" s="231"/>
      <c r="Y67" s="234"/>
      <c r="Z67" s="234"/>
      <c r="AA67" s="568"/>
      <c r="AB67" s="569"/>
      <c r="AC67" s="50"/>
      <c r="AD67" s="27"/>
      <c r="AE67" s="20">
        <f t="shared" si="43"/>
        <v>-130.66666666666652</v>
      </c>
      <c r="AF67" s="230">
        <f t="shared" si="9"/>
        <v>0.95644444444444454</v>
      </c>
      <c r="AG67" s="573"/>
    </row>
    <row r="68" spans="1:33">
      <c r="A68" s="581" t="s">
        <v>66</v>
      </c>
      <c r="B68" s="39" t="s">
        <v>46</v>
      </c>
      <c r="C68" s="576"/>
      <c r="D68" s="576"/>
      <c r="E68" s="236"/>
      <c r="F68" s="42"/>
      <c r="G68" s="18"/>
      <c r="H68" s="243"/>
      <c r="I68" s="32">
        <v>9.5</v>
      </c>
      <c r="J68" s="43">
        <v>3000</v>
      </c>
      <c r="K68" s="18">
        <f t="shared" si="1"/>
        <v>315.78947368421052</v>
      </c>
      <c r="L68" s="32">
        <v>9.5</v>
      </c>
      <c r="M68" s="19">
        <f>AVERAGE(M62:M67)</f>
        <v>2885.5127340417839</v>
      </c>
      <c r="N68" s="18">
        <f t="shared" si="3"/>
        <v>303.73818253071408</v>
      </c>
      <c r="O68" s="20">
        <f t="shared" si="4"/>
        <v>0</v>
      </c>
      <c r="P68" s="21">
        <f t="shared" si="5"/>
        <v>-12.051291153496436</v>
      </c>
      <c r="Q68" s="230">
        <f t="shared" si="6"/>
        <v>0.961837578013928</v>
      </c>
      <c r="R68" s="573"/>
      <c r="S68" s="49"/>
      <c r="T68" s="49"/>
      <c r="U68" s="18"/>
      <c r="V68" s="242"/>
      <c r="W68" s="18"/>
      <c r="X68" s="18"/>
      <c r="Y68" s="33">
        <f>SUM(Y62:Y67)</f>
        <v>0</v>
      </c>
      <c r="Z68" s="33">
        <f>SUM(Z62:Z67)</f>
        <v>0</v>
      </c>
      <c r="AA68" s="572"/>
      <c r="AB68" s="572"/>
      <c r="AC68" s="33">
        <v>6</v>
      </c>
      <c r="AD68" s="33">
        <f>SUM(AD62:AD67)</f>
        <v>0</v>
      </c>
      <c r="AE68" s="20">
        <f t="shared" si="43"/>
        <v>-114.48726595821608</v>
      </c>
      <c r="AF68" s="230">
        <f t="shared" si="9"/>
        <v>0.961837578013928</v>
      </c>
      <c r="AG68" s="573"/>
    </row>
    <row r="69" spans="1:33" ht="15.75" customHeight="1">
      <c r="A69" s="577" t="s">
        <v>71</v>
      </c>
      <c r="B69" s="243" t="s">
        <v>94</v>
      </c>
      <c r="C69" s="574" t="s">
        <v>124</v>
      </c>
      <c r="D69" s="574"/>
      <c r="E69" s="39">
        <v>22.69</v>
      </c>
      <c r="F69" s="243">
        <v>4774</v>
      </c>
      <c r="G69" s="231">
        <f t="shared" ref="G69:G75" si="45">E69*F69</f>
        <v>108322.06000000001</v>
      </c>
      <c r="H69" s="48" t="s">
        <v>126</v>
      </c>
      <c r="I69" s="241">
        <v>15</v>
      </c>
      <c r="J69" s="43">
        <v>2400</v>
      </c>
      <c r="K69" s="18">
        <f t="shared" ref="K69:K76" si="46">J69/I69</f>
        <v>160</v>
      </c>
      <c r="L69" s="241">
        <v>15</v>
      </c>
      <c r="M69" s="19">
        <f t="shared" ref="M69:M75" si="47">F69/V69*60</f>
        <v>2291.5199999999995</v>
      </c>
      <c r="N69" s="18">
        <f t="shared" ref="N69:N76" si="48">M69/L69</f>
        <v>152.76799999999997</v>
      </c>
      <c r="O69" s="20">
        <f t="shared" ref="O69:O76" si="49">L69-I69</f>
        <v>0</v>
      </c>
      <c r="P69" s="21">
        <f t="shared" ref="P69:P76" si="50">N69-K69</f>
        <v>-7.2320000000000277</v>
      </c>
      <c r="Q69" s="230">
        <f t="shared" ref="Q69:Q76" si="51">N69/K69</f>
        <v>0.95479999999999987</v>
      </c>
      <c r="R69" s="573">
        <f>Q76</f>
        <v>0.9551841249597649</v>
      </c>
      <c r="S69" s="49">
        <v>8.3333333333333329E-2</v>
      </c>
      <c r="T69" s="49">
        <v>0.1701388888888889</v>
      </c>
      <c r="U69" s="30"/>
      <c r="V69" s="242">
        <f t="shared" ref="V69:V75" si="52">(T69-S69)*24*60</f>
        <v>125.00000000000001</v>
      </c>
      <c r="W69" s="25">
        <f>T69</f>
        <v>0.1701388888888889</v>
      </c>
      <c r="X69" s="25">
        <f>S70</f>
        <v>0.19097222222222224</v>
      </c>
      <c r="Y69" s="25"/>
      <c r="Z69" s="25"/>
      <c r="AA69" s="575"/>
      <c r="AB69" s="575"/>
      <c r="AC69" s="50">
        <v>7</v>
      </c>
      <c r="AD69" s="27"/>
      <c r="AE69" s="20">
        <f t="shared" si="43"/>
        <v>-108.48000000000047</v>
      </c>
      <c r="AF69" s="230">
        <f t="shared" ref="AF69:AF76" si="53">M69/J69</f>
        <v>0.95479999999999976</v>
      </c>
      <c r="AG69" s="573">
        <f>AF76</f>
        <v>0.95518412495976501</v>
      </c>
    </row>
    <row r="70" spans="1:33" ht="15.75" customHeight="1">
      <c r="A70" s="578" t="s">
        <v>71</v>
      </c>
      <c r="B70" s="243" t="s">
        <v>94</v>
      </c>
      <c r="C70" s="574" t="s">
        <v>123</v>
      </c>
      <c r="D70" s="574"/>
      <c r="E70" s="39">
        <v>20.21</v>
      </c>
      <c r="F70" s="243">
        <v>3829</v>
      </c>
      <c r="G70" s="231">
        <f t="shared" si="45"/>
        <v>77384.09</v>
      </c>
      <c r="H70" s="48" t="s">
        <v>126</v>
      </c>
      <c r="I70" s="241">
        <v>15</v>
      </c>
      <c r="J70" s="43">
        <v>2400</v>
      </c>
      <c r="K70" s="18">
        <f t="shared" si="46"/>
        <v>160</v>
      </c>
      <c r="L70" s="241">
        <v>15</v>
      </c>
      <c r="M70" s="19">
        <f t="shared" si="47"/>
        <v>2297.4</v>
      </c>
      <c r="N70" s="18">
        <f t="shared" si="48"/>
        <v>153.16</v>
      </c>
      <c r="O70" s="20">
        <f t="shared" si="49"/>
        <v>0</v>
      </c>
      <c r="P70" s="21">
        <f t="shared" si="50"/>
        <v>-6.8400000000000034</v>
      </c>
      <c r="Q70" s="230">
        <f t="shared" si="51"/>
        <v>0.95724999999999993</v>
      </c>
      <c r="R70" s="573"/>
      <c r="S70" s="49">
        <v>0.19097222222222224</v>
      </c>
      <c r="T70" s="49">
        <v>0.26041666666666669</v>
      </c>
      <c r="U70" s="231">
        <f t="shared" ref="U70:U75" si="54">(S70-T69)*24*60</f>
        <v>30.000000000000014</v>
      </c>
      <c r="V70" s="242">
        <f t="shared" si="52"/>
        <v>100</v>
      </c>
      <c r="W70" s="25"/>
      <c r="X70" s="25"/>
      <c r="Y70" s="25"/>
      <c r="Z70" s="25"/>
      <c r="AA70" s="575"/>
      <c r="AB70" s="575"/>
      <c r="AC70" s="50"/>
      <c r="AD70" s="27"/>
      <c r="AE70" s="20">
        <f t="shared" si="43"/>
        <v>-102.59999999999991</v>
      </c>
      <c r="AF70" s="230">
        <f t="shared" si="53"/>
        <v>0.95725000000000005</v>
      </c>
      <c r="AG70" s="573"/>
    </row>
    <row r="71" spans="1:33" ht="15.75" customHeight="1">
      <c r="A71" s="578" t="s">
        <v>71</v>
      </c>
      <c r="B71" s="243" t="s">
        <v>94</v>
      </c>
      <c r="C71" s="574" t="s">
        <v>125</v>
      </c>
      <c r="D71" s="574"/>
      <c r="E71" s="39">
        <v>19.02</v>
      </c>
      <c r="F71" s="243">
        <v>7800</v>
      </c>
      <c r="G71" s="231">
        <f t="shared" si="45"/>
        <v>148356</v>
      </c>
      <c r="H71" s="48">
        <v>2</v>
      </c>
      <c r="I71" s="241">
        <v>14</v>
      </c>
      <c r="J71" s="43">
        <v>2400</v>
      </c>
      <c r="K71" s="18">
        <f t="shared" si="46"/>
        <v>171.42857142857142</v>
      </c>
      <c r="L71" s="241">
        <v>14</v>
      </c>
      <c r="M71" s="19">
        <f t="shared" si="47"/>
        <v>2282.9268292682927</v>
      </c>
      <c r="N71" s="18">
        <f t="shared" si="48"/>
        <v>163.06620209059233</v>
      </c>
      <c r="O71" s="20">
        <f t="shared" si="49"/>
        <v>0</v>
      </c>
      <c r="P71" s="21">
        <f t="shared" si="50"/>
        <v>-8.3623693379790893</v>
      </c>
      <c r="Q71" s="230">
        <f t="shared" si="51"/>
        <v>0.95121951219512202</v>
      </c>
      <c r="R71" s="573"/>
      <c r="S71" s="49">
        <v>0.26458333333333334</v>
      </c>
      <c r="T71" s="49">
        <v>0.40694444444444444</v>
      </c>
      <c r="U71" s="231">
        <f t="shared" si="54"/>
        <v>5.9999999999999787</v>
      </c>
      <c r="V71" s="242">
        <f t="shared" si="52"/>
        <v>205</v>
      </c>
      <c r="W71" s="25"/>
      <c r="X71" s="25"/>
      <c r="Y71" s="25"/>
      <c r="Z71" s="25"/>
      <c r="AA71" s="575"/>
      <c r="AB71" s="575"/>
      <c r="AC71" s="50"/>
      <c r="AD71" s="27"/>
      <c r="AE71" s="20">
        <f t="shared" si="43"/>
        <v>-117.07317073170725</v>
      </c>
      <c r="AF71" s="230">
        <f t="shared" si="53"/>
        <v>0.95121951219512202</v>
      </c>
      <c r="AG71" s="573"/>
    </row>
    <row r="72" spans="1:33" ht="15.75" customHeight="1">
      <c r="A72" s="578" t="s">
        <v>71</v>
      </c>
      <c r="B72" s="243" t="s">
        <v>94</v>
      </c>
      <c r="C72" s="574" t="s">
        <v>99</v>
      </c>
      <c r="D72" s="574"/>
      <c r="E72" s="39">
        <v>20.36</v>
      </c>
      <c r="F72" s="243">
        <v>3500</v>
      </c>
      <c r="G72" s="231">
        <f t="shared" si="45"/>
        <v>71260</v>
      </c>
      <c r="H72" s="48">
        <v>2</v>
      </c>
      <c r="I72" s="241">
        <v>17</v>
      </c>
      <c r="J72" s="43">
        <v>2400</v>
      </c>
      <c r="K72" s="18">
        <f t="shared" si="46"/>
        <v>141.1764705882353</v>
      </c>
      <c r="L72" s="241">
        <v>17</v>
      </c>
      <c r="M72" s="19">
        <f t="shared" si="47"/>
        <v>2282.608695652174</v>
      </c>
      <c r="N72" s="18">
        <f t="shared" si="48"/>
        <v>134.27109974424553</v>
      </c>
      <c r="O72" s="20">
        <f t="shared" si="49"/>
        <v>0</v>
      </c>
      <c r="P72" s="21">
        <f t="shared" si="50"/>
        <v>-6.9053708439897719</v>
      </c>
      <c r="Q72" s="230">
        <f t="shared" si="51"/>
        <v>0.95108695652173914</v>
      </c>
      <c r="R72" s="573"/>
      <c r="S72" s="49">
        <v>0.41111111111111109</v>
      </c>
      <c r="T72" s="49">
        <v>0.47499999999999998</v>
      </c>
      <c r="U72" s="231">
        <f t="shared" si="54"/>
        <v>5.9999999999999787</v>
      </c>
      <c r="V72" s="242">
        <f t="shared" si="52"/>
        <v>92</v>
      </c>
      <c r="W72" s="25">
        <f>T72</f>
        <v>0.47499999999999998</v>
      </c>
      <c r="X72" s="25">
        <f>S73</f>
        <v>0.51458333333333328</v>
      </c>
      <c r="Y72" s="25"/>
      <c r="Z72" s="25"/>
      <c r="AA72" s="575"/>
      <c r="AB72" s="575"/>
      <c r="AC72" s="50"/>
      <c r="AD72" s="27"/>
      <c r="AE72" s="20">
        <f t="shared" si="43"/>
        <v>-117.39130434782601</v>
      </c>
      <c r="AF72" s="230">
        <f t="shared" si="53"/>
        <v>0.95108695652173914</v>
      </c>
      <c r="AG72" s="573"/>
    </row>
    <row r="73" spans="1:33" ht="15.75" customHeight="1">
      <c r="A73" s="578" t="s">
        <v>71</v>
      </c>
      <c r="B73" s="243" t="s">
        <v>94</v>
      </c>
      <c r="C73" s="574" t="s">
        <v>125</v>
      </c>
      <c r="D73" s="574"/>
      <c r="E73" s="39">
        <v>19.02</v>
      </c>
      <c r="F73" s="243">
        <v>3749</v>
      </c>
      <c r="G73" s="231">
        <f t="shared" si="45"/>
        <v>71305.98</v>
      </c>
      <c r="H73" s="48" t="s">
        <v>126</v>
      </c>
      <c r="I73" s="241">
        <v>14</v>
      </c>
      <c r="J73" s="43">
        <v>2400</v>
      </c>
      <c r="K73" s="18">
        <f t="shared" si="46"/>
        <v>171.42857142857142</v>
      </c>
      <c r="L73" s="241">
        <v>14</v>
      </c>
      <c r="M73" s="19">
        <f t="shared" si="47"/>
        <v>2295.3061224489802</v>
      </c>
      <c r="N73" s="18">
        <f t="shared" si="48"/>
        <v>163.95043731778429</v>
      </c>
      <c r="O73" s="20">
        <f t="shared" si="49"/>
        <v>0</v>
      </c>
      <c r="P73" s="21">
        <f t="shared" si="50"/>
        <v>-7.4781341107871242</v>
      </c>
      <c r="Q73" s="230">
        <f t="shared" si="51"/>
        <v>0.95637755102040845</v>
      </c>
      <c r="R73" s="573"/>
      <c r="S73" s="49">
        <v>0.51458333333333328</v>
      </c>
      <c r="T73" s="49">
        <v>0.58263888888888882</v>
      </c>
      <c r="U73" s="231">
        <f t="shared" si="54"/>
        <v>56.999999999999957</v>
      </c>
      <c r="V73" s="242">
        <f t="shared" si="52"/>
        <v>97.999999999999972</v>
      </c>
      <c r="W73" s="25"/>
      <c r="X73" s="25"/>
      <c r="Y73" s="25"/>
      <c r="Z73" s="25"/>
      <c r="AA73" s="575"/>
      <c r="AB73" s="575"/>
      <c r="AC73" s="50"/>
      <c r="AD73" s="27"/>
      <c r="AE73" s="20">
        <f t="shared" si="43"/>
        <v>-104.6938775510198</v>
      </c>
      <c r="AF73" s="230">
        <f t="shared" si="53"/>
        <v>0.95637755102040845</v>
      </c>
      <c r="AG73" s="573"/>
    </row>
    <row r="74" spans="1:33" ht="15.75" customHeight="1">
      <c r="A74" s="578" t="s">
        <v>71</v>
      </c>
      <c r="B74" s="243" t="s">
        <v>94</v>
      </c>
      <c r="C74" s="574" t="s">
        <v>99</v>
      </c>
      <c r="D74" s="574"/>
      <c r="E74" s="39">
        <v>20.36</v>
      </c>
      <c r="F74" s="243">
        <v>2340</v>
      </c>
      <c r="G74" s="231">
        <f t="shared" si="45"/>
        <v>47642.400000000001</v>
      </c>
      <c r="H74" s="48" t="s">
        <v>126</v>
      </c>
      <c r="I74" s="241">
        <v>17</v>
      </c>
      <c r="J74" s="43">
        <v>2400</v>
      </c>
      <c r="K74" s="18">
        <f t="shared" si="46"/>
        <v>141.1764705882353</v>
      </c>
      <c r="L74" s="241">
        <v>17</v>
      </c>
      <c r="M74" s="19">
        <f t="shared" si="47"/>
        <v>2301.6393442622971</v>
      </c>
      <c r="N74" s="18">
        <f t="shared" si="48"/>
        <v>135.39054966248807</v>
      </c>
      <c r="O74" s="20">
        <f t="shared" si="49"/>
        <v>0</v>
      </c>
      <c r="P74" s="21">
        <f t="shared" si="50"/>
        <v>-5.7859209257472344</v>
      </c>
      <c r="Q74" s="230">
        <f t="shared" si="51"/>
        <v>0.95901639344262379</v>
      </c>
      <c r="R74" s="573"/>
      <c r="S74" s="49">
        <v>0.58749999999999991</v>
      </c>
      <c r="T74" s="49">
        <v>0.62986111111111098</v>
      </c>
      <c r="U74" s="231">
        <f t="shared" si="54"/>
        <v>6.9999999999999751</v>
      </c>
      <c r="V74" s="242">
        <f t="shared" si="52"/>
        <v>60.999999999999943</v>
      </c>
      <c r="W74" s="25"/>
      <c r="X74" s="25"/>
      <c r="Y74" s="25"/>
      <c r="Z74" s="25"/>
      <c r="AA74" s="575"/>
      <c r="AB74" s="575"/>
      <c r="AC74" s="50"/>
      <c r="AD74" s="27"/>
      <c r="AE74" s="20">
        <f t="shared" si="43"/>
        <v>-98.360655737702928</v>
      </c>
      <c r="AF74" s="230">
        <f t="shared" si="53"/>
        <v>0.95901639344262379</v>
      </c>
      <c r="AG74" s="573"/>
    </row>
    <row r="75" spans="1:33" ht="15.75" customHeight="1">
      <c r="A75" s="578" t="s">
        <v>71</v>
      </c>
      <c r="B75" s="243" t="s">
        <v>94</v>
      </c>
      <c r="C75" s="566" t="s">
        <v>1231</v>
      </c>
      <c r="D75" s="567"/>
      <c r="E75" s="39">
        <v>25.99</v>
      </c>
      <c r="F75" s="243">
        <v>4974</v>
      </c>
      <c r="G75" s="231">
        <f t="shared" si="45"/>
        <v>129274.26</v>
      </c>
      <c r="H75" s="48" t="s">
        <v>126</v>
      </c>
      <c r="I75" s="241">
        <v>19</v>
      </c>
      <c r="J75" s="43">
        <v>2400</v>
      </c>
      <c r="K75" s="18">
        <f t="shared" si="46"/>
        <v>126.31578947368421</v>
      </c>
      <c r="L75" s="241">
        <v>19</v>
      </c>
      <c r="M75" s="19">
        <f t="shared" si="47"/>
        <v>2295.6923076923072</v>
      </c>
      <c r="N75" s="18">
        <f t="shared" si="48"/>
        <v>120.82591093117406</v>
      </c>
      <c r="O75" s="20">
        <f t="shared" si="49"/>
        <v>0</v>
      </c>
      <c r="P75" s="21">
        <f t="shared" si="50"/>
        <v>-5.4898785425101408</v>
      </c>
      <c r="Q75" s="230">
        <f t="shared" si="51"/>
        <v>0.95653846153846134</v>
      </c>
      <c r="R75" s="573"/>
      <c r="S75" s="49">
        <v>0.63402777777777763</v>
      </c>
      <c r="T75" s="49">
        <v>0.72430555555555542</v>
      </c>
      <c r="U75" s="231">
        <f t="shared" si="54"/>
        <v>5.9999999999999787</v>
      </c>
      <c r="V75" s="242">
        <f t="shared" si="52"/>
        <v>130.00000000000003</v>
      </c>
      <c r="W75" s="25"/>
      <c r="X75" s="25"/>
      <c r="Y75" s="28"/>
      <c r="Z75" s="28"/>
      <c r="AA75" s="568"/>
      <c r="AB75" s="569"/>
      <c r="AC75" s="50"/>
      <c r="AD75" s="27"/>
      <c r="AE75" s="20">
        <f t="shared" si="43"/>
        <v>-104.30769230769283</v>
      </c>
      <c r="AF75" s="230">
        <f t="shared" si="53"/>
        <v>0.95653846153846134</v>
      </c>
      <c r="AG75" s="573"/>
    </row>
    <row r="76" spans="1:33" ht="16.5" customHeight="1">
      <c r="A76" s="579" t="s">
        <v>71</v>
      </c>
      <c r="B76" s="39" t="s">
        <v>46</v>
      </c>
      <c r="C76" s="570"/>
      <c r="D76" s="571"/>
      <c r="E76" s="236"/>
      <c r="F76" s="42"/>
      <c r="G76" s="18"/>
      <c r="H76" s="243"/>
      <c r="I76" s="32">
        <v>15.857142857142858</v>
      </c>
      <c r="J76" s="43">
        <v>2400</v>
      </c>
      <c r="K76" s="18">
        <f t="shared" si="46"/>
        <v>151.35135135135135</v>
      </c>
      <c r="L76" s="32">
        <v>15.857142857142858</v>
      </c>
      <c r="M76" s="19">
        <f>AVERAGE(M69:M75)</f>
        <v>2292.441899903436</v>
      </c>
      <c r="N76" s="18">
        <f t="shared" si="48"/>
        <v>144.56840810201848</v>
      </c>
      <c r="O76" s="20">
        <f t="shared" si="49"/>
        <v>0</v>
      </c>
      <c r="P76" s="21">
        <f t="shared" si="50"/>
        <v>-6.7829432493328738</v>
      </c>
      <c r="Q76" s="230">
        <f t="shared" si="51"/>
        <v>0.9551841249597649</v>
      </c>
      <c r="R76" s="573"/>
      <c r="S76" s="49"/>
      <c r="T76" s="49"/>
      <c r="U76" s="18"/>
      <c r="V76" s="242"/>
      <c r="W76" s="18"/>
      <c r="X76" s="18"/>
      <c r="Y76" s="33">
        <f>SUM(Y69:Y75)</f>
        <v>0</v>
      </c>
      <c r="Z76" s="33">
        <f>SUM(Z69:Z75)</f>
        <v>0</v>
      </c>
      <c r="AA76" s="572"/>
      <c r="AB76" s="572"/>
      <c r="AC76" s="33">
        <v>7</v>
      </c>
      <c r="AD76" s="33">
        <f>SUM(AD69:AD75)</f>
        <v>0</v>
      </c>
      <c r="AE76" s="20">
        <f t="shared" si="43"/>
        <v>-107.55810009656398</v>
      </c>
      <c r="AF76" s="230">
        <f t="shared" si="53"/>
        <v>0.95518412495976501</v>
      </c>
      <c r="AG76" s="573"/>
    </row>
    <row r="77" spans="1:33">
      <c r="D77" s="35"/>
      <c r="E77" s="35"/>
    </row>
  </sheetData>
  <mergeCells count="200">
    <mergeCell ref="AG62:AG68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69:A76"/>
    <mergeCell ref="C69:D69"/>
    <mergeCell ref="R69:R76"/>
    <mergeCell ref="AA69:AB69"/>
    <mergeCell ref="AG69:AG76"/>
    <mergeCell ref="C70:D70"/>
    <mergeCell ref="AA70:AB70"/>
    <mergeCell ref="C71:D71"/>
    <mergeCell ref="AA71:AB71"/>
    <mergeCell ref="C75:D75"/>
    <mergeCell ref="AA75:AB75"/>
    <mergeCell ref="C76:D76"/>
    <mergeCell ref="AA76:AB76"/>
    <mergeCell ref="C72:D72"/>
    <mergeCell ref="AA72:AB72"/>
    <mergeCell ref="C73:D73"/>
    <mergeCell ref="AA73:AB73"/>
    <mergeCell ref="C74:D74"/>
    <mergeCell ref="AA74:AB74"/>
    <mergeCell ref="A51:A61"/>
    <mergeCell ref="C51:D51"/>
    <mergeCell ref="R51:R61"/>
    <mergeCell ref="AA51:AB51"/>
    <mergeCell ref="C60:D60"/>
    <mergeCell ref="AA60:AB60"/>
    <mergeCell ref="C61:D61"/>
    <mergeCell ref="AA61:AB61"/>
    <mergeCell ref="A62:A68"/>
    <mergeCell ref="C62:D62"/>
    <mergeCell ref="R62:R68"/>
    <mergeCell ref="AA62:AB62"/>
    <mergeCell ref="AA67:AB67"/>
    <mergeCell ref="C68:D68"/>
    <mergeCell ref="AA68:AB68"/>
    <mergeCell ref="AG51:AG61"/>
    <mergeCell ref="C52:D52"/>
    <mergeCell ref="AA52:AB52"/>
    <mergeCell ref="C53:D53"/>
    <mergeCell ref="AA53:AB53"/>
    <mergeCell ref="AA54:AB54"/>
    <mergeCell ref="AG46:AG50"/>
    <mergeCell ref="C47:D47"/>
    <mergeCell ref="AA47:AB47"/>
    <mergeCell ref="C48:D48"/>
    <mergeCell ref="AA48:AB48"/>
    <mergeCell ref="C49:D49"/>
    <mergeCell ref="AA49:AB49"/>
    <mergeCell ref="C50:D50"/>
    <mergeCell ref="AA50:AB50"/>
    <mergeCell ref="AA55:AB55"/>
    <mergeCell ref="C56:D56"/>
    <mergeCell ref="AA56:AB56"/>
    <mergeCell ref="C57:D57"/>
    <mergeCell ref="AA57:AB57"/>
    <mergeCell ref="C58:D58"/>
    <mergeCell ref="AA58:AB58"/>
    <mergeCell ref="A46:A50"/>
    <mergeCell ref="C46:D46"/>
    <mergeCell ref="R46:R50"/>
    <mergeCell ref="AA46:AB46"/>
    <mergeCell ref="A37:A45"/>
    <mergeCell ref="AG37:AG45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C37:D37"/>
    <mergeCell ref="R37:R45"/>
    <mergeCell ref="AA37:AB37"/>
    <mergeCell ref="AA42:AB42"/>
    <mergeCell ref="C43:D43"/>
    <mergeCell ref="AA43:AB43"/>
    <mergeCell ref="C44:D44"/>
    <mergeCell ref="AA44:AB44"/>
    <mergeCell ref="C45:D45"/>
    <mergeCell ref="AA45:AB45"/>
    <mergeCell ref="C32:D32"/>
    <mergeCell ref="AA32:AB32"/>
    <mergeCell ref="C33:D33"/>
    <mergeCell ref="AA33:AB33"/>
    <mergeCell ref="A27:A36"/>
    <mergeCell ref="C27:D27"/>
    <mergeCell ref="R27:R36"/>
    <mergeCell ref="AA27:AB27"/>
    <mergeCell ref="C35:D35"/>
    <mergeCell ref="C36:D36"/>
    <mergeCell ref="AA36:AB36"/>
    <mergeCell ref="AG27:AG36"/>
    <mergeCell ref="C28:D28"/>
    <mergeCell ref="AA28:AB28"/>
    <mergeCell ref="C29:D29"/>
    <mergeCell ref="AA29:AB29"/>
    <mergeCell ref="C30:D30"/>
    <mergeCell ref="AA23:AB23"/>
    <mergeCell ref="C24:D24"/>
    <mergeCell ref="AA24:AB24"/>
    <mergeCell ref="C25:D25"/>
    <mergeCell ref="AA25:AB25"/>
    <mergeCell ref="C26:D26"/>
    <mergeCell ref="AA26:AB26"/>
    <mergeCell ref="AA30:AB30"/>
    <mergeCell ref="C31:D31"/>
    <mergeCell ref="AA31:AB31"/>
    <mergeCell ref="AG20:AG26"/>
    <mergeCell ref="C21:D21"/>
    <mergeCell ref="AA21:AB21"/>
    <mergeCell ref="C22:D22"/>
    <mergeCell ref="AA22:AB22"/>
    <mergeCell ref="C23:D23"/>
    <mergeCell ref="A10:A13"/>
    <mergeCell ref="C10:D10"/>
    <mergeCell ref="R10:R13"/>
    <mergeCell ref="AA10:AB10"/>
    <mergeCell ref="C18:D18"/>
    <mergeCell ref="AA18:AB18"/>
    <mergeCell ref="C19:D19"/>
    <mergeCell ref="AA19:AB19"/>
    <mergeCell ref="C14:D14"/>
    <mergeCell ref="R14:R19"/>
    <mergeCell ref="AA14:AB14"/>
    <mergeCell ref="AA15:AB15"/>
    <mergeCell ref="C16:D16"/>
    <mergeCell ref="AA16:AB16"/>
    <mergeCell ref="C17:D17"/>
    <mergeCell ref="AA17:AB17"/>
    <mergeCell ref="A20:A26"/>
    <mergeCell ref="C20:D20"/>
    <mergeCell ref="R20:R26"/>
    <mergeCell ref="AA20:AB20"/>
    <mergeCell ref="A14:A19"/>
    <mergeCell ref="AG14:AG19"/>
    <mergeCell ref="C15:D15"/>
    <mergeCell ref="A5:A9"/>
    <mergeCell ref="C5:D5"/>
    <mergeCell ref="R5:R9"/>
    <mergeCell ref="AA5:AB5"/>
    <mergeCell ref="AG10:AG13"/>
    <mergeCell ref="C11:D11"/>
    <mergeCell ref="AA11:AB11"/>
    <mergeCell ref="C12:D12"/>
    <mergeCell ref="AA12:AB12"/>
    <mergeCell ref="C13:D13"/>
    <mergeCell ref="AA13:AB13"/>
    <mergeCell ref="AG5:AG9"/>
    <mergeCell ref="C6:D6"/>
    <mergeCell ref="AA6:AB6"/>
    <mergeCell ref="C7:D7"/>
    <mergeCell ref="AA7:AB7"/>
    <mergeCell ref="C8:D8"/>
    <mergeCell ref="AA8:AB8"/>
    <mergeCell ref="C9:D9"/>
    <mergeCell ref="AA9:AB9"/>
    <mergeCell ref="U3:U4"/>
    <mergeCell ref="V3:V4"/>
    <mergeCell ref="W3:X3"/>
    <mergeCell ref="Y3:Z3"/>
    <mergeCell ref="AA3:AB4"/>
    <mergeCell ref="N3:N4"/>
    <mergeCell ref="O3:O4"/>
    <mergeCell ref="P3:P4"/>
    <mergeCell ref="Q3:Q4"/>
    <mergeCell ref="R3:R4"/>
    <mergeCell ref="S3:T3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G3:AG4"/>
    <mergeCell ref="M3:M4"/>
    <mergeCell ref="AE3:AE4"/>
    <mergeCell ref="AF3:AF4"/>
    <mergeCell ref="K3:K4"/>
    <mergeCell ref="L3:L4"/>
    <mergeCell ref="H3:H4"/>
    <mergeCell ref="I3:I4"/>
    <mergeCell ref="J3:J4"/>
    <mergeCell ref="AC3:AD3"/>
  </mergeCells>
  <phoneticPr fontId="3" type="noConversion"/>
  <conditionalFormatting sqref="O65:O74 O61:O62 O76 O5:O10 O13:O15 O36:O56 O19:O34">
    <cfRule type="cellIs" dxfId="705" priority="61" operator="greaterThan">
      <formula>0</formula>
    </cfRule>
  </conditionalFormatting>
  <conditionalFormatting sqref="P5:P8 P65:P67 AE65:AE67 P69:P74 P27:P34 P62 P10 P13:P15 P20:P25 P51:P56 P37:P49 AE69:AE76 AE5:AE62">
    <cfRule type="cellIs" dxfId="704" priority="65" operator="lessThan">
      <formula>0</formula>
    </cfRule>
  </conditionalFormatting>
  <conditionalFormatting sqref="AF65:AF67 Q65:Q74 Q61:Q62 Q76 Q5:Q10 Q13:Q15 Q36:Q56 AF69:AF76 Q19:Q34 AF5:AF62">
    <cfRule type="cellIs" dxfId="703" priority="62" operator="greaterThan">
      <formula>1</formula>
    </cfRule>
    <cfRule type="cellIs" dxfId="702" priority="63" operator="lessThan">
      <formula>0.8</formula>
    </cfRule>
  </conditionalFormatting>
  <conditionalFormatting sqref="AG14:AG15 R14:R15 AG65 R65:R74 AG61:AG62 R61:R62 R76 AG5:AG10 R5:R10 AG36:AG56 R36:R56 AG19:AG34 R19:R34">
    <cfRule type="cellIs" dxfId="701" priority="67" operator="lessThan">
      <formula>0.8</formula>
    </cfRule>
  </conditionalFormatting>
  <conditionalFormatting sqref="AG46">
    <cfRule type="cellIs" dxfId="700" priority="69" operator="lessThan">
      <formula>0.8</formula>
    </cfRule>
  </conditionalFormatting>
  <conditionalFormatting sqref="AG20:AG25">
    <cfRule type="cellIs" dxfId="699" priority="66" operator="lessThan">
      <formula>0.8</formula>
    </cfRule>
  </conditionalFormatting>
  <conditionalFormatting sqref="AG27">
    <cfRule type="cellIs" dxfId="698" priority="68" operator="lessThan">
      <formula>0.8</formula>
    </cfRule>
  </conditionalFormatting>
  <conditionalFormatting sqref="AG37:AG44">
    <cfRule type="cellIs" dxfId="697" priority="64" operator="lessThan">
      <formula>0.8</formula>
    </cfRule>
  </conditionalFormatting>
  <conditionalFormatting sqref="AE68">
    <cfRule type="cellIs" dxfId="696" priority="60" operator="lessThan">
      <formula>0</formula>
    </cfRule>
  </conditionalFormatting>
  <conditionalFormatting sqref="AF68">
    <cfRule type="cellIs" dxfId="695" priority="58" operator="greaterThan">
      <formula>1</formula>
    </cfRule>
    <cfRule type="cellIs" dxfId="694" priority="59" operator="lessThan">
      <formula>0.8</formula>
    </cfRule>
  </conditionalFormatting>
  <conditionalFormatting sqref="O16:O17">
    <cfRule type="cellIs" dxfId="693" priority="53" operator="greaterThan">
      <formula>0</formula>
    </cfRule>
  </conditionalFormatting>
  <conditionalFormatting sqref="P16:P17">
    <cfRule type="cellIs" dxfId="692" priority="56" operator="lessThan">
      <formula>0</formula>
    </cfRule>
  </conditionalFormatting>
  <conditionalFormatting sqref="Q16:Q17">
    <cfRule type="cellIs" dxfId="691" priority="54" operator="greaterThan">
      <formula>1</formula>
    </cfRule>
    <cfRule type="cellIs" dxfId="690" priority="55" operator="lessThan">
      <formula>0.8</formula>
    </cfRule>
  </conditionalFormatting>
  <conditionalFormatting sqref="R16:R17 AG16:AG17">
    <cfRule type="cellIs" dxfId="689" priority="57" operator="lessThan">
      <formula>0.8</formula>
    </cfRule>
  </conditionalFormatting>
  <conditionalFormatting sqref="O11:O12">
    <cfRule type="cellIs" dxfId="688" priority="49" operator="greaterThan">
      <formula>0</formula>
    </cfRule>
  </conditionalFormatting>
  <conditionalFormatting sqref="P11:P12">
    <cfRule type="cellIs" dxfId="687" priority="52" operator="lessThan">
      <formula>0</formula>
    </cfRule>
  </conditionalFormatting>
  <conditionalFormatting sqref="Q11:Q12">
    <cfRule type="cellIs" dxfId="686" priority="50" operator="greaterThan">
      <formula>1</formula>
    </cfRule>
    <cfRule type="cellIs" dxfId="685" priority="51" operator="lessThan">
      <formula>0.8</formula>
    </cfRule>
  </conditionalFormatting>
  <conditionalFormatting sqref="O57">
    <cfRule type="cellIs" dxfId="684" priority="44" operator="greaterThan">
      <formula>0</formula>
    </cfRule>
  </conditionalFormatting>
  <conditionalFormatting sqref="P57">
    <cfRule type="cellIs" dxfId="683" priority="47" operator="lessThan">
      <formula>0</formula>
    </cfRule>
  </conditionalFormatting>
  <conditionalFormatting sqref="Q57">
    <cfRule type="cellIs" dxfId="682" priority="45" operator="greaterThan">
      <formula>1</formula>
    </cfRule>
    <cfRule type="cellIs" dxfId="681" priority="46" operator="lessThan">
      <formula>0.8</formula>
    </cfRule>
  </conditionalFormatting>
  <conditionalFormatting sqref="R57 AG57">
    <cfRule type="cellIs" dxfId="680" priority="48" operator="lessThan">
      <formula>0.8</formula>
    </cfRule>
  </conditionalFormatting>
  <conditionalFormatting sqref="O64">
    <cfRule type="cellIs" dxfId="679" priority="39" operator="greaterThan">
      <formula>0</formula>
    </cfRule>
  </conditionalFormatting>
  <conditionalFormatting sqref="P64 AE64">
    <cfRule type="cellIs" dxfId="678" priority="42" operator="lessThan">
      <formula>0</formula>
    </cfRule>
  </conditionalFormatting>
  <conditionalFormatting sqref="Q64 AF64">
    <cfRule type="cellIs" dxfId="677" priority="40" operator="greaterThan">
      <formula>1</formula>
    </cfRule>
    <cfRule type="cellIs" dxfId="676" priority="41" operator="lessThan">
      <formula>0.8</formula>
    </cfRule>
  </conditionalFormatting>
  <conditionalFormatting sqref="R64 AG64">
    <cfRule type="cellIs" dxfId="675" priority="43" operator="lessThan">
      <formula>0.8</formula>
    </cfRule>
  </conditionalFormatting>
  <conditionalFormatting sqref="O35">
    <cfRule type="cellIs" dxfId="674" priority="34" operator="greaterThan">
      <formula>0</formula>
    </cfRule>
  </conditionalFormatting>
  <conditionalFormatting sqref="P35">
    <cfRule type="cellIs" dxfId="673" priority="37" operator="lessThan">
      <formula>0</formula>
    </cfRule>
  </conditionalFormatting>
  <conditionalFormatting sqref="Q35">
    <cfRule type="cellIs" dxfId="672" priority="35" operator="greaterThan">
      <formula>1</formula>
    </cfRule>
    <cfRule type="cellIs" dxfId="671" priority="36" operator="lessThan">
      <formula>0.8</formula>
    </cfRule>
  </conditionalFormatting>
  <conditionalFormatting sqref="R35 AG35">
    <cfRule type="cellIs" dxfId="670" priority="38" operator="lessThan">
      <formula>0.8</formula>
    </cfRule>
  </conditionalFormatting>
  <conditionalFormatting sqref="O75">
    <cfRule type="cellIs" dxfId="669" priority="29" operator="greaterThan">
      <formula>0</formula>
    </cfRule>
  </conditionalFormatting>
  <conditionalFormatting sqref="P75">
    <cfRule type="cellIs" dxfId="668" priority="32" operator="lessThan">
      <formula>0</formula>
    </cfRule>
  </conditionalFormatting>
  <conditionalFormatting sqref="Q75">
    <cfRule type="cellIs" dxfId="667" priority="30" operator="greaterThan">
      <formula>1</formula>
    </cfRule>
    <cfRule type="cellIs" dxfId="666" priority="31" operator="lessThan">
      <formula>0.8</formula>
    </cfRule>
  </conditionalFormatting>
  <conditionalFormatting sqref="R75">
    <cfRule type="cellIs" dxfId="665" priority="33" operator="lessThan">
      <formula>0.8</formula>
    </cfRule>
  </conditionalFormatting>
  <conditionalFormatting sqref="O18">
    <cfRule type="cellIs" dxfId="664" priority="24" operator="greaterThan">
      <formula>0</formula>
    </cfRule>
  </conditionalFormatting>
  <conditionalFormatting sqref="P18">
    <cfRule type="cellIs" dxfId="663" priority="27" operator="lessThan">
      <formula>0</formula>
    </cfRule>
  </conditionalFormatting>
  <conditionalFormatting sqref="Q18">
    <cfRule type="cellIs" dxfId="662" priority="25" operator="greaterThan">
      <formula>1</formula>
    </cfRule>
    <cfRule type="cellIs" dxfId="661" priority="26" operator="lessThan">
      <formula>0.8</formula>
    </cfRule>
  </conditionalFormatting>
  <conditionalFormatting sqref="R18 AG18">
    <cfRule type="cellIs" dxfId="660" priority="28" operator="lessThan">
      <formula>0.8</formula>
    </cfRule>
  </conditionalFormatting>
  <conditionalFormatting sqref="O58">
    <cfRule type="cellIs" dxfId="659" priority="19" operator="greaterThan">
      <formula>0</formula>
    </cfRule>
  </conditionalFormatting>
  <conditionalFormatting sqref="P58">
    <cfRule type="cellIs" dxfId="658" priority="22" operator="lessThan">
      <formula>0</formula>
    </cfRule>
  </conditionalFormatting>
  <conditionalFormatting sqref="Q58">
    <cfRule type="cellIs" dxfId="657" priority="20" operator="greaterThan">
      <formula>1</formula>
    </cfRule>
    <cfRule type="cellIs" dxfId="656" priority="21" operator="lessThan">
      <formula>0.8</formula>
    </cfRule>
  </conditionalFormatting>
  <conditionalFormatting sqref="AG58 R58">
    <cfRule type="cellIs" dxfId="655" priority="23" operator="lessThan">
      <formula>0.8</formula>
    </cfRule>
  </conditionalFormatting>
  <conditionalFormatting sqref="O63">
    <cfRule type="cellIs" dxfId="654" priority="14" operator="greaterThan">
      <formula>0</formula>
    </cfRule>
  </conditionalFormatting>
  <conditionalFormatting sqref="P63 AE63">
    <cfRule type="cellIs" dxfId="653" priority="17" operator="lessThan">
      <formula>0</formula>
    </cfRule>
  </conditionalFormatting>
  <conditionalFormatting sqref="Q63 AF63">
    <cfRule type="cellIs" dxfId="652" priority="15" operator="greaterThan">
      <formula>1</formula>
    </cfRule>
    <cfRule type="cellIs" dxfId="651" priority="16" operator="lessThan">
      <formula>0.8</formula>
    </cfRule>
  </conditionalFormatting>
  <conditionalFormatting sqref="R63 AG63">
    <cfRule type="cellIs" dxfId="650" priority="18" operator="lessThan">
      <formula>0.8</formula>
    </cfRule>
  </conditionalFormatting>
  <conditionalFormatting sqref="P9">
    <cfRule type="cellIs" dxfId="649" priority="13" operator="lessThan">
      <formula>0</formula>
    </cfRule>
  </conditionalFormatting>
  <conditionalFormatting sqref="P19">
    <cfRule type="cellIs" dxfId="648" priority="12" operator="lessThan">
      <formula>0</formula>
    </cfRule>
  </conditionalFormatting>
  <conditionalFormatting sqref="P26">
    <cfRule type="cellIs" dxfId="647" priority="11" operator="lessThan">
      <formula>0</formula>
    </cfRule>
  </conditionalFormatting>
  <conditionalFormatting sqref="P36">
    <cfRule type="cellIs" dxfId="646" priority="10" operator="lessThan">
      <formula>0</formula>
    </cfRule>
  </conditionalFormatting>
  <conditionalFormatting sqref="P50">
    <cfRule type="cellIs" dxfId="645" priority="9" operator="lessThan">
      <formula>0</formula>
    </cfRule>
  </conditionalFormatting>
  <conditionalFormatting sqref="P61">
    <cfRule type="cellIs" dxfId="644" priority="8" operator="lessThan">
      <formula>0</formula>
    </cfRule>
  </conditionalFormatting>
  <conditionalFormatting sqref="P68">
    <cfRule type="cellIs" dxfId="643" priority="7" operator="lessThan">
      <formula>0</formula>
    </cfRule>
  </conditionalFormatting>
  <conditionalFormatting sqref="P76">
    <cfRule type="cellIs" dxfId="642" priority="6" operator="lessThan">
      <formula>0</formula>
    </cfRule>
  </conditionalFormatting>
  <conditionalFormatting sqref="O59:O60">
    <cfRule type="cellIs" dxfId="641" priority="1" operator="greaterThan">
      <formula>0</formula>
    </cfRule>
  </conditionalFormatting>
  <conditionalFormatting sqref="P59:P60">
    <cfRule type="cellIs" dxfId="640" priority="4" operator="lessThan">
      <formula>0</formula>
    </cfRule>
  </conditionalFormatting>
  <conditionalFormatting sqref="Q59:Q60">
    <cfRule type="cellIs" dxfId="639" priority="2" operator="greaterThan">
      <formula>1</formula>
    </cfRule>
    <cfRule type="cellIs" dxfId="638" priority="3" operator="lessThan">
      <formula>0.8</formula>
    </cfRule>
  </conditionalFormatting>
  <conditionalFormatting sqref="AG59:AG60 R59:R60">
    <cfRule type="cellIs" dxfId="637" priority="5" operator="lessThan">
      <formula>0.8</formula>
    </cfRule>
  </conditionalFormatting>
  <dataValidations count="1">
    <dataValidation type="list" allowBlank="1" showInputMessage="1" showErrorMessage="1" sqref="AB9 AA5:AB8 AB66:AB67 AA68:AB76 AA9:AA67 AB11:AB6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Normal="100" workbookViewId="0"/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931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932</v>
      </c>
      <c r="C3" s="555" t="str">
        <f>TEXT('0511 4度C'!A2,"yyyy.mm.ddaaaa")</f>
        <v>2026.05.11星期一</v>
      </c>
      <c r="D3" s="556"/>
      <c r="E3" s="54" t="s">
        <v>933</v>
      </c>
      <c r="F3" s="557">
        <f>'0511 4度C'!D1</f>
        <v>182000</v>
      </c>
      <c r="G3" s="558"/>
      <c r="H3" s="54" t="s">
        <v>934</v>
      </c>
      <c r="I3" s="559">
        <f>'0511 4度C'!F1</f>
        <v>6213060.54</v>
      </c>
      <c r="J3" s="560"/>
      <c r="K3" s="55"/>
      <c r="L3" s="56"/>
      <c r="M3" s="57"/>
      <c r="N3" s="57"/>
    </row>
    <row r="4" spans="2:17" ht="28.5" customHeight="1">
      <c r="B4" s="561" t="s">
        <v>935</v>
      </c>
      <c r="C4" s="547" t="s">
        <v>936</v>
      </c>
      <c r="D4" s="548"/>
      <c r="E4" s="564" t="s">
        <v>937</v>
      </c>
      <c r="F4" s="565"/>
      <c r="G4" s="564" t="s">
        <v>938</v>
      </c>
      <c r="H4" s="565"/>
      <c r="I4" s="564" t="s">
        <v>939</v>
      </c>
      <c r="J4" s="565"/>
      <c r="K4" s="545" t="s">
        <v>940</v>
      </c>
      <c r="L4" s="546"/>
      <c r="M4" s="546" t="s">
        <v>941</v>
      </c>
      <c r="N4" s="546"/>
    </row>
    <row r="5" spans="2:17" ht="28.5" customHeight="1">
      <c r="B5" s="562"/>
      <c r="C5" s="547" t="s">
        <v>942</v>
      </c>
      <c r="D5" s="548"/>
      <c r="E5" s="547" t="s">
        <v>943</v>
      </c>
      <c r="F5" s="548"/>
      <c r="G5" s="549" t="s">
        <v>944</v>
      </c>
      <c r="H5" s="550"/>
      <c r="I5" s="551" t="s">
        <v>945</v>
      </c>
      <c r="J5" s="552"/>
      <c r="K5" s="58" t="s">
        <v>946</v>
      </c>
      <c r="L5" s="59" t="s">
        <v>947</v>
      </c>
      <c r="M5" s="58" t="s">
        <v>948</v>
      </c>
      <c r="N5" s="59" t="s">
        <v>949</v>
      </c>
    </row>
    <row r="6" spans="2:17" ht="28.5" customHeight="1">
      <c r="B6" s="562"/>
      <c r="C6" s="547" t="s">
        <v>145</v>
      </c>
      <c r="D6" s="548"/>
      <c r="E6" s="539">
        <f>AVERAGE(D13:M13)</f>
        <v>152.2091878349386</v>
      </c>
      <c r="F6" s="540">
        <f>AVERAGE(D31:O31,D13:J13)</f>
        <v>158.06694674301187</v>
      </c>
      <c r="G6" s="541">
        <f>AVERAGE(D13:J13)</f>
        <v>158.06694674301187</v>
      </c>
      <c r="H6" s="542"/>
      <c r="I6" s="541">
        <f>AVERAGE(K13:M13)</f>
        <v>138.54108371610087</v>
      </c>
      <c r="J6" s="542"/>
      <c r="K6" s="543">
        <f>'0511 4度C'!Y2</f>
        <v>0</v>
      </c>
      <c r="L6" s="528">
        <f>'0511 4度C'!Z2</f>
        <v>0</v>
      </c>
      <c r="M6" s="544">
        <f>'0511 4度C'!AC2</f>
        <v>58</v>
      </c>
      <c r="N6" s="528">
        <f>'0511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146.03696082664956</v>
      </c>
      <c r="F7" s="532">
        <f>AVERAGE(D32:O32,D14:J14)</f>
        <v>151.82691560755987</v>
      </c>
      <c r="G7" s="533">
        <f>AVERAGE(D14:J14)</f>
        <v>151.82691560755987</v>
      </c>
      <c r="H7" s="534"/>
      <c r="I7" s="533">
        <f>AVERAGE(K14:M14)</f>
        <v>132.52706633785874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0.95869380576945351</v>
      </c>
      <c r="F8" s="536">
        <f>AVERAGE(D15:J15,D33:O33)</f>
        <v>0.95958837638258154</v>
      </c>
      <c r="G8" s="537">
        <f>AVERAGE(D15:J15)</f>
        <v>0.95958837638258154</v>
      </c>
      <c r="H8" s="538"/>
      <c r="I8" s="537">
        <f>AVERAGE(K15:M15)</f>
        <v>0.95660647433882107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950</v>
      </c>
      <c r="N9" s="57"/>
      <c r="O9" s="57"/>
      <c r="P9" s="57"/>
      <c r="Q9" s="57"/>
    </row>
    <row r="10" spans="2:17" ht="30" customHeight="1">
      <c r="B10" s="511" t="s">
        <v>951</v>
      </c>
      <c r="C10" s="512"/>
      <c r="D10" s="513" t="s">
        <v>952</v>
      </c>
      <c r="E10" s="514"/>
      <c r="F10" s="514"/>
      <c r="G10" s="514"/>
      <c r="H10" s="514"/>
      <c r="I10" s="514"/>
      <c r="J10" s="515"/>
      <c r="K10" s="516" t="s">
        <v>953</v>
      </c>
      <c r="L10" s="517"/>
      <c r="M10" s="518"/>
      <c r="P10" s="63"/>
      <c r="Q10" s="63"/>
    </row>
    <row r="11" spans="2:17" ht="17.25" customHeight="1">
      <c r="B11" s="519" t="s">
        <v>954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13</v>
      </c>
      <c r="C13" s="70" t="s">
        <v>955</v>
      </c>
      <c r="D13" s="71">
        <f>SUMIFS('0511 4度C'!$K:$K,'0511 4度C'!$A:$A,"新豐6線",'0511 4度C'!$B:$B,"平均")</f>
        <v>120.48192771084337</v>
      </c>
      <c r="E13" s="72">
        <f>SUMIFS('0511 4度C'!$K:$K,'0511 4度C'!$A:$A,"新豐2線",'0511 4度C'!$B:$B,"平均")</f>
        <v>84.905660377358487</v>
      </c>
      <c r="F13" s="73">
        <f>SUMIFS('0511 4度C'!$K:$K,'0511 4度C'!$A:$A,"新豐5線",'0511 4度C'!$B:$B,"平均")</f>
        <v>100</v>
      </c>
      <c r="G13" s="73">
        <f>SUMIFS('0511 4度C'!$K:$K,'0511 4度C'!$A:$A,"新豐7線",'0511 4度C'!$B:$B,"平均")</f>
        <v>125</v>
      </c>
      <c r="H13" s="73">
        <f>SUMIFS('0511 4度C'!$K:$K,'0511 4度C'!$A:$A,"新豐3線",'0511 4度C'!$B:$B,"平均")</f>
        <v>255.81395348837211</v>
      </c>
      <c r="I13" s="73">
        <f>SUMIFS('0511 4度C'!$K:$K,'0511 4度C'!$A:$A,"新豐1線",'0511 4度C'!$B:$B,"平均")</f>
        <v>104.47761194029852</v>
      </c>
      <c r="J13" s="74">
        <f>SUMIFS('0511 4度C'!$K:$K,'0511 4度C'!$A:$A,"新豐10線",'0511 4度C'!$B:$B,"平均")</f>
        <v>315.78947368421052</v>
      </c>
      <c r="K13" s="75">
        <f>SUMIFS('0511 4度C'!$K:$K,'0511 4度C'!$A:$A,"新豐8線",'0511 4度C'!$B:$B,"平均")</f>
        <v>139.35483870967744</v>
      </c>
      <c r="L13" s="76">
        <f>SUMIFS('0511 4度C'!$K:$K,'0511 4度C'!$A:$A,"新豐9線",'0511 4度C'!$B:$B,"平均")</f>
        <v>123.07692307692308</v>
      </c>
      <c r="M13" s="74">
        <f>SUMIFS('0511 4度C'!$K:$K,'0511 4度C'!$A:$A,"新豐4線",'0511 4度C'!$B:$B,"平均")</f>
        <v>153.19148936170214</v>
      </c>
    </row>
    <row r="14" spans="2:17" ht="39.6" customHeight="1">
      <c r="B14" s="524"/>
      <c r="C14" s="77" t="s">
        <v>956</v>
      </c>
      <c r="D14" s="78">
        <f>SUMIFS('0511 4度C'!$N:$N,'0511 4度C'!$A:$A,"新豐6線",'0511 4度C'!$B:$B,"平均")</f>
        <v>116.15613251263387</v>
      </c>
      <c r="E14" s="79">
        <f>SUMIFS('0511 4度C'!$N:$N,'0511 4度C'!$A:$A,"新豐2線",'0511 4度C'!$B:$B,"平均")</f>
        <v>81.15733165738952</v>
      </c>
      <c r="F14" s="79">
        <f>SUMIFS('0511 4度C'!$N:$N,'0511 4度C'!$A:$A,"新豐5線",'0511 4度C'!$B:$B,"平均")</f>
        <v>95.860541346139541</v>
      </c>
      <c r="G14" s="79">
        <f>SUMIFS('0511 4度C'!$N:$N,'0511 4度C'!$A:$A,"新豐7線",'0511 4度C'!$B:$B,"平均")</f>
        <v>120.08432037817862</v>
      </c>
      <c r="H14" s="79">
        <f>SUMIFS('0511 4度C'!$N:$N,'0511 4度C'!$A:$A,"新豐3線",'0511 4度C'!$B:$B,"平均")</f>
        <v>244.38697754055454</v>
      </c>
      <c r="I14" s="79">
        <f>SUMIFS('0511 4度C'!$N:$N,'0511 4度C'!$A:$A,"新豐1線",'0511 4度C'!$B:$B,"平均")</f>
        <v>99.864080807590071</v>
      </c>
      <c r="J14" s="80">
        <f>SUMIFS('0511 4度C'!$N:$N,'0511 4度C'!$A:$A,"新豐10線",'0511 4度C'!$B:$B,"平均")</f>
        <v>305.27902501043303</v>
      </c>
      <c r="K14" s="81">
        <f>SUMIFS('0511 4度C'!$N:$N,'0511 4度C'!$A:$A,"新豐8線",'0511 4度C'!$B:$B,"平均")</f>
        <v>133.22351623169422</v>
      </c>
      <c r="L14" s="82">
        <f>SUMIFS('0511 4度C'!$N:$N,'0511 4度C'!$A:$A,"新豐9線",'0511 4度C'!$B:$B,"平均")</f>
        <v>117.79771736225042</v>
      </c>
      <c r="M14" s="80">
        <f>SUMIFS('0511 4度C'!$N:$N,'0511 4度C'!$A:$A,"新豐4線",'0511 4度C'!$B:$B,"平均")</f>
        <v>146.5599654196316</v>
      </c>
    </row>
    <row r="15" spans="2:17" ht="40.15" customHeight="1">
      <c r="B15" s="525"/>
      <c r="C15" s="83" t="s">
        <v>957</v>
      </c>
      <c r="D15" s="84">
        <f t="shared" ref="D15:M15" si="0">D14/D13</f>
        <v>0.96409589985486122</v>
      </c>
      <c r="E15" s="85">
        <f t="shared" si="0"/>
        <v>0.95585301729814331</v>
      </c>
      <c r="F15" s="85">
        <f t="shared" si="0"/>
        <v>0.95860541346139538</v>
      </c>
      <c r="G15" s="85">
        <f t="shared" si="0"/>
        <v>0.96067456302542897</v>
      </c>
      <c r="H15" s="85">
        <f t="shared" si="0"/>
        <v>0.95533091220398592</v>
      </c>
      <c r="I15" s="85">
        <f t="shared" si="0"/>
        <v>0.95584191630121917</v>
      </c>
      <c r="J15" s="86">
        <f t="shared" si="0"/>
        <v>0.96671691253303793</v>
      </c>
      <c r="K15" s="84">
        <f t="shared" si="0"/>
        <v>0.95600208407002785</v>
      </c>
      <c r="L15" s="85">
        <f t="shared" si="0"/>
        <v>0.95710645356828472</v>
      </c>
      <c r="M15" s="86">
        <f t="shared" si="0"/>
        <v>0.95671088537815063</v>
      </c>
    </row>
    <row r="16" spans="2:17" ht="17.25" customHeight="1">
      <c r="B16" s="526" t="s">
        <v>958</v>
      </c>
      <c r="C16" s="87" t="s">
        <v>959</v>
      </c>
      <c r="D16" s="88">
        <f>VLOOKUP("新豐6線",'0511 4度C'!$A:$T,19,0)</f>
        <v>0.70833333333333337</v>
      </c>
      <c r="E16" s="89">
        <f>VLOOKUP("新豐2線",'0511 4度C'!$A:$T,19,0)</f>
        <v>0.20833333333333334</v>
      </c>
      <c r="F16" s="89">
        <f>VLOOKUP("新豐5線",'0511 4度C'!$A:$T,19,0)</f>
        <v>0.20833333333333334</v>
      </c>
      <c r="G16" s="89">
        <f>VLOOKUP("新豐7線",'0511 4度C'!$A:$T,19,0)</f>
        <v>0.20833333333333334</v>
      </c>
      <c r="H16" s="89">
        <f>VLOOKUP("新豐3線",'0511 4度C'!$A:$T,19,0)</f>
        <v>8.3333333333333329E-2</v>
      </c>
      <c r="I16" s="89">
        <f>VLOOKUP("新豐1線",'0511 4度C'!$A:$T,19,0)</f>
        <v>0.20833333333333334</v>
      </c>
      <c r="J16" s="90">
        <f>VLOOKUP("新豐10線",'0511 4度C'!$A:$T,19,0)</f>
        <v>0.20833333333333334</v>
      </c>
      <c r="K16" s="91">
        <f>VLOOKUP("新豐8線",'0511 4度C'!$A:$T,19,0)</f>
        <v>8.3333333333333329E-2</v>
      </c>
      <c r="L16" s="92">
        <f>VLOOKUP("新豐9線",'0511 4度C'!$A:$T,19,0)</f>
        <v>8.3333333333333329E-2</v>
      </c>
      <c r="M16" s="93">
        <f>VLOOKUP("新豐4線",'0511 4度C'!$A:$T,19,0)</f>
        <v>8.3333333333333329E-2</v>
      </c>
    </row>
    <row r="17" spans="2:13" ht="17.25" customHeight="1">
      <c r="B17" s="527"/>
      <c r="C17" s="87" t="s">
        <v>960</v>
      </c>
      <c r="D17" s="91">
        <f>LOOKUP(2,1/(('0511 4度C'!$A:$A="新豐6線")*('0511 4度C'!$T:$T&lt;&gt;"")),'0511 4度C'!$T:$T)</f>
        <v>0.89652777777777781</v>
      </c>
      <c r="E17" s="89">
        <f>LOOKUP(2,1/(('0511 4度C'!$A:$A="新豐2線")*('0511 4度C'!$T:$T&lt;&gt;"")),'0511 4度C'!$T:$T)</f>
        <v>0.63263888888888897</v>
      </c>
      <c r="F17" s="89">
        <f>LOOKUP(2,1/(('0511 4度C'!$A:$A="新豐5線")*('0511 4度C'!$T:$T&lt;&gt;"")),'0511 4度C'!$T:$T)</f>
        <v>0.83125000000000004</v>
      </c>
      <c r="G17" s="89">
        <f>LOOKUP(2,1/(('0511 4度C'!$A:$A="新豐7線")*('0511 4度C'!$T:$T&lt;&gt;"")),'0511 4度C'!$T:$T)</f>
        <v>0.83958333333333335</v>
      </c>
      <c r="H17" s="89">
        <f>LOOKUP(2,1/(('0511 4度C'!$A:$A="新豐3線")*('0511 4度C'!$T:$T&lt;&gt;"")),'0511 4度C'!$T:$T)</f>
        <v>0.47083333333333321</v>
      </c>
      <c r="I17" s="89">
        <f>LOOKUP(2,1/(('0511 4度C'!$A:$A="新豐1線")*('0511 4度C'!$T:$T&lt;&gt;"")),'0511 4度C'!$T:$T)</f>
        <v>0.82847222222222228</v>
      </c>
      <c r="J17" s="90">
        <f>LOOKUP(2,1/(('0511 4度C'!$A:$A="新豐10線")*('0511 4度C'!$T:$T&lt;&gt;"")),'0511 4度C'!$T:$T)</f>
        <v>0.43888888888888888</v>
      </c>
      <c r="K17" s="88">
        <f>LOOKUP(2,1/(('0511 4度C'!$A:$A="新豐8線")*('0511 4度C'!$T:$T&lt;&gt;"")),'0511 4度C'!$T:$T)</f>
        <v>0.78819444444444442</v>
      </c>
      <c r="L17" s="89">
        <f>LOOKUP(2,1/(('0511 4度C'!$A:$A="新豐9線")*('0511 4度C'!$T:$T&lt;&gt;"")),'0511 4度C'!$T:$T)</f>
        <v>0.73472222222222217</v>
      </c>
      <c r="M17" s="90">
        <f>LOOKUP(2,1/(('0511 4度C'!$A:$A="新豐4線")*('0511 4度C'!$T:$T&lt;&gt;"")),'0511 4度C'!$T:$T)</f>
        <v>0.63611111111111096</v>
      </c>
    </row>
    <row r="18" spans="2:13" ht="17.25" customHeight="1">
      <c r="B18" s="505" t="s">
        <v>961</v>
      </c>
      <c r="C18" s="94" t="s">
        <v>962</v>
      </c>
      <c r="D18" s="95">
        <f>SUMIFS('0511 4度C'!$Y:$Y,'0511 4度C'!$A:$A,"新豐6線",'0511 4度C'!$B:$B,"平均")</f>
        <v>0</v>
      </c>
      <c r="E18" s="96">
        <f>SUMIFS('0511 4度C'!$Y:$Y,'0511 4度C'!$A:$A,"新豐2線",'0511 4度C'!$B:$B,"平均")</f>
        <v>0</v>
      </c>
      <c r="F18" s="96">
        <f>SUMIFS('0511 4度C'!$Y:$Y,'0511 4度C'!$A:$A,"新豐5線",'0511 4度C'!$B:$B,"平均")</f>
        <v>0</v>
      </c>
      <c r="G18" s="96">
        <f>SUMIFS('0511 4度C'!$Y:$Y,'0511 4度C'!$A:$A,"新豐7線",'0511 4度C'!$B:$B,"平均")</f>
        <v>0</v>
      </c>
      <c r="H18" s="96">
        <f>SUMIFS('0511 4度C'!$Y:$Y,'0511 4度C'!$A:$A,"新豐3線",'0511 4度C'!$B:$B,"平均")</f>
        <v>0</v>
      </c>
      <c r="I18" s="96">
        <f>SUMIFS('0511 4度C'!$Y:$Y,'0511 4度C'!$A:$A,"新豐1線",'0511 4度C'!$B:$B,"平均")</f>
        <v>0</v>
      </c>
      <c r="J18" s="97">
        <f>SUMIFS('0511 4度C'!$Y:$Y,'0511 4度C'!$A:$A,"新豐10線",'0511 4度C'!$B:$B,"平均")</f>
        <v>0</v>
      </c>
      <c r="K18" s="98">
        <f>SUMIFS('0511 4度C'!$Y:$Y,'0511 4度C'!$A:$A,"新豐8線",'0511 4度C'!$B:$B,"平均")</f>
        <v>0</v>
      </c>
      <c r="L18" s="96">
        <f>SUMIFS('0511 4度C'!$Y:$Y,'0511 4度C'!$A:$A,"新豐9線",'0511 4度C'!$B:$B,"平均")</f>
        <v>0</v>
      </c>
      <c r="M18" s="97">
        <f>SUMIFS('0511 4度C'!$Y:$Y,'0511 4度C'!$A:$A,"新豐4線",'0511 4度C'!$B:$B,"平均")</f>
        <v>0</v>
      </c>
    </row>
    <row r="19" spans="2:13" ht="17.25" customHeight="1">
      <c r="B19" s="506"/>
      <c r="C19" s="94" t="s">
        <v>963</v>
      </c>
      <c r="D19" s="95">
        <f>SUMIFS('0511 4度C'!$Z:$Z,'0511 4度C'!$A:$A,"新豐6線",'0511 4度C'!$B:$B,"平均")</f>
        <v>0</v>
      </c>
      <c r="E19" s="96">
        <f>SUMIFS('0511 4度C'!$Z:$Z,'0511 4度C'!$A:$A,"新豐2線",'0511 4度C'!$B:$B,"平均")</f>
        <v>0</v>
      </c>
      <c r="F19" s="96">
        <f>SUMIFS('0511 4度C'!$Z:$Z,'0511 4度C'!$A:$A,"新豐5線",'0511 4度C'!$B:$B,"平均")</f>
        <v>0</v>
      </c>
      <c r="G19" s="96">
        <f>SUMIFS('0511 4度C'!$Z:$Z,'0511 4度C'!$A:$A,"新豐7線",'0511 4度C'!$B:$B,"平均")</f>
        <v>0</v>
      </c>
      <c r="H19" s="96">
        <f>SUMIFS('0511 4度C'!$Z:$Z,'0511 4度C'!$A:$A,"新豐3線",'0511 4度C'!$B:$B,"平均")</f>
        <v>0</v>
      </c>
      <c r="I19" s="96">
        <f>SUMIFS('0511 4度C'!$Z:$Z,'0511 4度C'!$A:$A,"新豐1線",'0511 4度C'!$B:$B,"平均")</f>
        <v>0</v>
      </c>
      <c r="J19" s="97">
        <f>SUMIFS('0511 4度C'!$Z:$Z,'0511 4度C'!$A:$A,"新豐10線",'0511 4度C'!$B:$B,"平均")</f>
        <v>0</v>
      </c>
      <c r="K19" s="98">
        <f>SUMIFS('0511 4度C'!$Z:$Z,'0511 4度C'!$A:$A,"新豐8線",'0511 4度C'!$B:$B,"平均")</f>
        <v>0</v>
      </c>
      <c r="L19" s="96">
        <f>SUMIFS('0511 4度C'!$Z:$Z,'0511 4度C'!$A:$A,"新豐9線",'0511 4度C'!$B:$B,"平均")</f>
        <v>0</v>
      </c>
      <c r="M19" s="97">
        <f>SUMIFS('0511 4度C'!$Z:$Z,'0511 4度C'!$A:$A,"新豐4線",'0511 4度C'!$B:$B,"平均")</f>
        <v>0</v>
      </c>
    </row>
    <row r="20" spans="2:13" ht="17.25" customHeight="1">
      <c r="B20" s="505" t="s">
        <v>964</v>
      </c>
      <c r="C20" s="94" t="s">
        <v>40</v>
      </c>
      <c r="D20" s="95">
        <f>SUMIFS('0511 4度C'!$AC:$AC,'0511 4度C'!$A:$A,"新豐6線",'0511 4度C'!$B:$B,"平均")</f>
        <v>5</v>
      </c>
      <c r="E20" s="96">
        <f>SUMIFS('0511 4度C'!$AC:$AC,'0511 4度C'!$A:$A,"新豐2線",'0511 4度C'!$B:$B,"平均")</f>
        <v>3</v>
      </c>
      <c r="F20" s="96">
        <f>SUMIFS('0511 4度C'!$AC:$AC,'0511 4度C'!$A:$A,"新豐5線",'0511 4度C'!$B:$B,"平均")</f>
        <v>4</v>
      </c>
      <c r="G20" s="96">
        <f>SUMIFS('0511 4度C'!$AC:$AC,'0511 4度C'!$A:$A,"新豐7線",'0511 4度C'!$B:$B,"平均")</f>
        <v>6</v>
      </c>
      <c r="H20" s="96">
        <f>SUMIFS('0511 4度C'!$AC:$AC,'0511 4度C'!$A:$A,"新豐3線",'0511 4度C'!$B:$B,"平均")</f>
        <v>4</v>
      </c>
      <c r="I20" s="96">
        <f>SUMIFS('0511 4度C'!$AC:$AC,'0511 4度C'!$A:$A,"新豐1線",'0511 4度C'!$B:$B,"平均")</f>
        <v>7</v>
      </c>
      <c r="J20" s="97">
        <f>SUMIFS('0511 4度C'!$AC:$AC,'0511 4度C'!$A:$A,"新豐10線",'0511 4度C'!$B:$B,"平均")</f>
        <v>6</v>
      </c>
      <c r="K20" s="98">
        <f>SUMIFS('0511 4度C'!$AC:$AC,'0511 4度C'!$A:$A,"新豐8線",'0511 4度C'!$B:$B,"平均")</f>
        <v>9</v>
      </c>
      <c r="L20" s="96">
        <f>SUMIFS('0511 4度C'!$AC:$AC,'0511 4度C'!$A:$A,"新豐9線",'0511 4度C'!$B:$B,"平均")</f>
        <v>8</v>
      </c>
      <c r="M20" s="97">
        <f>SUMIFS('0511 4度C'!$AC:$AC,'0511 4度C'!$A:$A,"新豐4線",'0511 4度C'!$B:$B,"平均")</f>
        <v>6</v>
      </c>
    </row>
    <row r="21" spans="2:13" ht="17.25" customHeight="1">
      <c r="B21" s="506"/>
      <c r="C21" s="94" t="s">
        <v>965</v>
      </c>
      <c r="D21" s="95">
        <f>SUMIFS('0511 4度C'!$AD:$AD,'0511 4度C'!$A:$A,"新豐6線",'0511 4度C'!$B:$B,"平均")</f>
        <v>0</v>
      </c>
      <c r="E21" s="96">
        <f>SUMIFS('0511 4度C'!$AD:$AD,'0511 4度C'!$A:$A,"新豐2線",'0511 4度C'!$B:$B,"平均")</f>
        <v>0</v>
      </c>
      <c r="F21" s="96">
        <f>SUMIFS('0511 4度C'!$AD:$AD,'0511 4度C'!$A:$A,"新豐5線",'0511 4度C'!$B:$B,"平均")</f>
        <v>0</v>
      </c>
      <c r="G21" s="96">
        <f>SUMIFS('0511 4度C'!$AD:$AD,'0511 4度C'!$A:$A,"新豐7線",'0511 4度C'!$B:$B,"平均")</f>
        <v>0</v>
      </c>
      <c r="H21" s="96">
        <f>SUMIFS('0511 4度C'!$AD:$AD,'0511 4度C'!$A:$A,"新豐3線",'0511 4度C'!$B:$B,"平均")</f>
        <v>0</v>
      </c>
      <c r="I21" s="96">
        <f>SUMIFS('0511 4度C'!$AD:$AD,'0511 4度C'!$A:$A,"新豐1線",'0511 4度C'!$B:$B,"平均")</f>
        <v>0</v>
      </c>
      <c r="J21" s="97">
        <f>SUMIFS('0511 4度C'!$AD:$AD,'0511 4度C'!$A:$A,"新豐10線",'0511 4度C'!$B:$B,"平均")</f>
        <v>0</v>
      </c>
      <c r="K21" s="98">
        <f>SUMIFS('0511 4度C'!$AD:$AD,'0511 4度C'!$A:$A,"新豐8線",'0511 4度C'!$B:$B,"平均")</f>
        <v>0</v>
      </c>
      <c r="L21" s="96">
        <f>SUMIFS('0511 4度C'!$AD:$AD,'0511 4度C'!$A:$A,"新豐9線",'0511 4度C'!$B:$B,"平均")</f>
        <v>0</v>
      </c>
      <c r="M21" s="97">
        <f>SUMIFS('0511 4度C'!$AD:$AD,'0511 4度C'!$A:$A,"新豐4線",'0511 4度C'!$B:$B,"平均")</f>
        <v>0</v>
      </c>
    </row>
    <row r="22" spans="2:13" ht="17.25" customHeight="1">
      <c r="B22" s="507" t="s">
        <v>966</v>
      </c>
      <c r="C22" s="508"/>
      <c r="D22" s="99">
        <f>SUMIFS('0511 4度C'!$I:$I,'0511 4度C'!$A:$A,"新豐6線",'0511 4度C'!$B:$B,"平均")</f>
        <v>16.600000000000001</v>
      </c>
      <c r="E22" s="100">
        <f>SUMIFS('0511 4度C'!$I:$I,'0511 4度C'!$A:$A,"新豐2線",'0511 4度C'!$B:$B,"平均")</f>
        <v>17.666666666666668</v>
      </c>
      <c r="F22" s="100">
        <f>SUMIFS('0511 4度C'!$I:$I,'0511 4度C'!$A:$A,"新豐5線",'0511 4度C'!$B:$B,"平均")</f>
        <v>17.5</v>
      </c>
      <c r="G22" s="100">
        <f>SUMIFS('0511 4度C'!$I:$I,'0511 4度C'!$A:$A,"新豐7線",'0511 4度C'!$B:$B,"平均")</f>
        <v>15.333333333333334</v>
      </c>
      <c r="H22" s="100">
        <f>SUMIFS('0511 4度C'!$I:$I,'0511 4度C'!$A:$A,"新豐3線",'0511 4度C'!$B:$B,"平均")</f>
        <v>10.75</v>
      </c>
      <c r="I22" s="100">
        <f>SUMIFS('0511 4度C'!$I:$I,'0511 4度C'!$A:$A,"新豐1線",'0511 4度C'!$B:$B,"平均")</f>
        <v>19.142857142857142</v>
      </c>
      <c r="J22" s="101">
        <f>SUMIFS('0511 4度C'!$I:$I,'0511 4度C'!$A:$A,"新豐10線",'0511 4度C'!$B:$B,"平均")</f>
        <v>9.5</v>
      </c>
      <c r="K22" s="99">
        <f>SUMIFS('0511 4度C'!$I:$I,'0511 4度C'!$A:$A,"新豐8線",'0511 4度C'!$B:$B,"平均")</f>
        <v>17.222222222222221</v>
      </c>
      <c r="L22" s="100">
        <f>SUMIFS('0511 4度C'!$I:$I,'0511 4度C'!$A:$A,"新豐9線",'0511 4度C'!$B:$B,"平均")</f>
        <v>17.875</v>
      </c>
      <c r="M22" s="101">
        <f>SUMIFS('0511 4度C'!$I:$I,'0511 4度C'!$A:$A,"新豐4線",'0511 4度C'!$B:$B,"平均")</f>
        <v>15.666666666666666</v>
      </c>
    </row>
    <row r="23" spans="2:13" ht="17.25" customHeight="1">
      <c r="B23" s="507" t="s">
        <v>967</v>
      </c>
      <c r="C23" s="508"/>
      <c r="D23" s="102" t="s">
        <v>177</v>
      </c>
      <c r="E23" s="103" t="s">
        <v>178</v>
      </c>
      <c r="F23" s="103" t="s">
        <v>968</v>
      </c>
      <c r="G23" s="103" t="s">
        <v>968</v>
      </c>
      <c r="H23" s="103" t="s">
        <v>180</v>
      </c>
      <c r="I23" s="103" t="s">
        <v>177</v>
      </c>
      <c r="J23" s="104" t="s">
        <v>180</v>
      </c>
      <c r="K23" s="102" t="s">
        <v>969</v>
      </c>
      <c r="L23" s="103" t="s">
        <v>970</v>
      </c>
      <c r="M23" s="104" t="s">
        <v>969</v>
      </c>
    </row>
    <row r="24" spans="2:13" ht="17.25" customHeight="1">
      <c r="B24" s="507" t="s">
        <v>971</v>
      </c>
      <c r="C24" s="508"/>
      <c r="D24" s="102"/>
      <c r="E24" s="103"/>
      <c r="F24" s="103" t="s">
        <v>972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973</v>
      </c>
      <c r="C25" s="510"/>
      <c r="D25" s="105"/>
      <c r="E25" s="106" t="s">
        <v>974</v>
      </c>
      <c r="F25" s="503" t="s">
        <v>975</v>
      </c>
      <c r="G25" s="504"/>
      <c r="H25" s="106" t="s">
        <v>976</v>
      </c>
      <c r="I25" s="106" t="s">
        <v>977</v>
      </c>
      <c r="J25" s="107" t="s">
        <v>976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63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3"/>
  <sheetViews>
    <sheetView zoomScale="73" zoomScaleNormal="73" workbookViewId="0">
      <pane ySplit="4" topLeftCell="A5" activePane="bottomLeft" state="frozen"/>
      <selection activeCell="E3" sqref="E3"/>
      <selection pane="bottomLeft" activeCell="C18" sqref="C18:D1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978</v>
      </c>
      <c r="B1" s="1"/>
      <c r="C1" s="2" t="s">
        <v>979</v>
      </c>
      <c r="D1" s="3">
        <f>SUM(F5:F72)</f>
        <v>182000</v>
      </c>
      <c r="E1" s="188" t="s">
        <v>980</v>
      </c>
      <c r="F1" s="1">
        <f>SUM(G5:G72)</f>
        <v>6213060.54</v>
      </c>
      <c r="G1" s="1" t="s">
        <v>981</v>
      </c>
      <c r="H1" s="5">
        <f>L10+L14+L50+L58+L19+L65+L36+L45+L26+L72</f>
        <v>157.25674603174602</v>
      </c>
      <c r="I1" s="617" t="s">
        <v>982</v>
      </c>
      <c r="J1" s="617"/>
      <c r="K1" s="617"/>
      <c r="L1" s="617" t="s">
        <v>983</v>
      </c>
      <c r="M1" s="617"/>
      <c r="N1" s="617"/>
      <c r="O1" s="617" t="s">
        <v>984</v>
      </c>
      <c r="P1" s="617"/>
      <c r="Q1" s="617"/>
      <c r="R1" s="617"/>
      <c r="S1" s="617" t="s">
        <v>985</v>
      </c>
      <c r="T1" s="617"/>
      <c r="U1" s="617"/>
      <c r="V1" s="617"/>
      <c r="W1" s="617"/>
      <c r="X1" s="617"/>
      <c r="Y1" s="6" t="s">
        <v>986</v>
      </c>
      <c r="Z1" s="7" t="s">
        <v>987</v>
      </c>
      <c r="AA1" s="618" t="s">
        <v>988</v>
      </c>
      <c r="AB1" s="618"/>
      <c r="AC1" s="121" t="s">
        <v>989</v>
      </c>
      <c r="AD1" s="7" t="s">
        <v>990</v>
      </c>
      <c r="AE1" s="617" t="s">
        <v>12</v>
      </c>
      <c r="AF1" s="619"/>
      <c r="AG1" s="619"/>
    </row>
    <row r="2" spans="1:33" ht="26.25" customHeight="1">
      <c r="A2" s="37">
        <v>46153</v>
      </c>
      <c r="B2" s="38" t="s">
        <v>483</v>
      </c>
      <c r="C2" s="2" t="s">
        <v>991</v>
      </c>
      <c r="D2" s="10">
        <f>AVERAGE(N10,N14,N50,N58,N19,N65,N26,N36,N45,N72)</f>
        <v>146.03696082664956</v>
      </c>
      <c r="E2" s="11" t="s">
        <v>14</v>
      </c>
      <c r="F2" s="12">
        <f>F1/D1</f>
        <v>34.137695274725274</v>
      </c>
      <c r="G2" s="1" t="s">
        <v>992</v>
      </c>
      <c r="H2" s="200">
        <f>COUNT(H5:H72)</f>
        <v>12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SUM(Y10+Y14+Y19+Y26+Y36+Y45+Y50+Y58+Y65+Y72)</f>
        <v>0</v>
      </c>
      <c r="Z2" s="14">
        <f>SUM(Z10+Z14+Z19+Z26+Z36+Z45+Z50+Z58+Z65+Z72)</f>
        <v>0</v>
      </c>
      <c r="AA2" s="618"/>
      <c r="AB2" s="618"/>
      <c r="AC2" s="122">
        <v>58</v>
      </c>
      <c r="AD2" s="14">
        <f>SUM(AD10+AD14+AD19+AD26+AD36+AD45+AD50+AD58+AD65+AD72)</f>
        <v>0</v>
      </c>
      <c r="AE2" s="619"/>
      <c r="AF2" s="619"/>
      <c r="AG2" s="619"/>
    </row>
    <row r="3" spans="1:33" ht="40.5" customHeight="1">
      <c r="A3" s="575" t="s">
        <v>993</v>
      </c>
      <c r="B3" s="575" t="s">
        <v>994</v>
      </c>
      <c r="C3" s="575" t="s">
        <v>995</v>
      </c>
      <c r="D3" s="575"/>
      <c r="E3" s="615" t="s">
        <v>996</v>
      </c>
      <c r="F3" s="575" t="s">
        <v>20</v>
      </c>
      <c r="G3" s="615" t="s">
        <v>997</v>
      </c>
      <c r="H3" s="608" t="s">
        <v>998</v>
      </c>
      <c r="I3" s="606" t="s">
        <v>999</v>
      </c>
      <c r="J3" s="603" t="s">
        <v>1000</v>
      </c>
      <c r="K3" s="613" t="s">
        <v>1001</v>
      </c>
      <c r="L3" s="606" t="s">
        <v>1002</v>
      </c>
      <c r="M3" s="603" t="s">
        <v>1003</v>
      </c>
      <c r="N3" s="613" t="s">
        <v>1001</v>
      </c>
      <c r="O3" s="606" t="s">
        <v>1002</v>
      </c>
      <c r="P3" s="613" t="s">
        <v>991</v>
      </c>
      <c r="Q3" s="604" t="s">
        <v>1004</v>
      </c>
      <c r="R3" s="582" t="s">
        <v>1005</v>
      </c>
      <c r="S3" s="614" t="s">
        <v>28</v>
      </c>
      <c r="T3" s="614"/>
      <c r="U3" s="608" t="s">
        <v>29</v>
      </c>
      <c r="V3" s="608" t="s">
        <v>1006</v>
      </c>
      <c r="W3" s="575" t="s">
        <v>31</v>
      </c>
      <c r="X3" s="575"/>
      <c r="Y3" s="609" t="s">
        <v>1007</v>
      </c>
      <c r="Z3" s="572"/>
      <c r="AA3" s="610" t="s">
        <v>1008</v>
      </c>
      <c r="AB3" s="611"/>
      <c r="AC3" s="609" t="s">
        <v>1009</v>
      </c>
      <c r="AD3" s="572"/>
      <c r="AE3" s="603" t="s">
        <v>1003</v>
      </c>
      <c r="AF3" s="604" t="s">
        <v>1010</v>
      </c>
      <c r="AG3" s="582" t="s">
        <v>1011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199" t="s">
        <v>36</v>
      </c>
      <c r="T4" s="199" t="s">
        <v>37</v>
      </c>
      <c r="U4" s="608"/>
      <c r="V4" s="608"/>
      <c r="W4" s="188" t="s">
        <v>1012</v>
      </c>
      <c r="X4" s="188" t="s">
        <v>1013</v>
      </c>
      <c r="Y4" s="190" t="s">
        <v>1014</v>
      </c>
      <c r="Z4" s="190" t="s">
        <v>1015</v>
      </c>
      <c r="AA4" s="612"/>
      <c r="AB4" s="611"/>
      <c r="AC4" s="190" t="s">
        <v>1016</v>
      </c>
      <c r="AD4" s="190" t="s">
        <v>1017</v>
      </c>
      <c r="AE4" s="603"/>
      <c r="AF4" s="604"/>
      <c r="AG4" s="582"/>
    </row>
    <row r="5" spans="1:33">
      <c r="A5" s="605" t="s">
        <v>1018</v>
      </c>
      <c r="B5" s="39" t="s">
        <v>74</v>
      </c>
      <c r="C5" s="607" t="s">
        <v>75</v>
      </c>
      <c r="D5" s="607"/>
      <c r="E5" s="39">
        <v>50.67</v>
      </c>
      <c r="F5" s="199">
        <v>1543</v>
      </c>
      <c r="G5" s="188">
        <f t="shared" ref="G5:G9" si="0">E5*F5</f>
        <v>78183.81</v>
      </c>
      <c r="H5" s="48" t="s">
        <v>126</v>
      </c>
      <c r="I5" s="197">
        <v>17</v>
      </c>
      <c r="J5" s="43">
        <v>2000</v>
      </c>
      <c r="K5" s="18">
        <f t="shared" ref="K5:K68" si="1">J5/I5</f>
        <v>117.64705882352941</v>
      </c>
      <c r="L5" s="197">
        <v>17</v>
      </c>
      <c r="M5" s="19">
        <f t="shared" ref="M5:M9" si="2">F5/V5*60</f>
        <v>1928.7500000000005</v>
      </c>
      <c r="N5" s="18">
        <f t="shared" ref="N5:N68" si="3">M5/L5</f>
        <v>113.4558823529412</v>
      </c>
      <c r="O5" s="20">
        <f t="shared" ref="O5:O68" si="4">L5-I5</f>
        <v>0</v>
      </c>
      <c r="P5" s="21">
        <f t="shared" ref="P5:P68" si="5">N5-K5</f>
        <v>-4.1911764705882035</v>
      </c>
      <c r="Q5" s="191">
        <f t="shared" ref="Q5:Q68" si="6">N5/K5</f>
        <v>0.96437500000000032</v>
      </c>
      <c r="R5" s="573">
        <f>Q10</f>
        <v>0.96409589985486122</v>
      </c>
      <c r="S5" s="49">
        <v>0.70833333333333337</v>
      </c>
      <c r="T5" s="49">
        <v>0.7416666666666667</v>
      </c>
      <c r="U5" s="188"/>
      <c r="V5" s="198">
        <f t="shared" ref="V5:V9" si="7">(T5-S5)*24*60</f>
        <v>47.999999999999986</v>
      </c>
      <c r="W5" s="25"/>
      <c r="X5" s="26"/>
      <c r="Y5" s="26"/>
      <c r="Z5" s="26"/>
      <c r="AA5" s="575"/>
      <c r="AB5" s="575"/>
      <c r="AC5" s="50">
        <v>5</v>
      </c>
      <c r="AD5" s="27"/>
      <c r="AE5" s="20">
        <f t="shared" ref="AE5:AE57" si="8">M5-J5</f>
        <v>-71.249999999999545</v>
      </c>
      <c r="AF5" s="191">
        <f t="shared" ref="AF5:AF68" si="9">M5/J5</f>
        <v>0.9643750000000002</v>
      </c>
      <c r="AG5" s="573">
        <f>AF10</f>
        <v>0.96409589985486133</v>
      </c>
    </row>
    <row r="6" spans="1:33">
      <c r="A6" s="606" t="s">
        <v>1019</v>
      </c>
      <c r="B6" s="39" t="s">
        <v>74</v>
      </c>
      <c r="C6" s="607" t="s">
        <v>76</v>
      </c>
      <c r="D6" s="607"/>
      <c r="E6" s="39">
        <v>54.09</v>
      </c>
      <c r="F6" s="199">
        <v>1263</v>
      </c>
      <c r="G6" s="188">
        <f t="shared" si="0"/>
        <v>68315.67</v>
      </c>
      <c r="H6" s="48" t="s">
        <v>126</v>
      </c>
      <c r="I6" s="197">
        <v>19</v>
      </c>
      <c r="J6" s="43">
        <v>2000</v>
      </c>
      <c r="K6" s="18">
        <f t="shared" si="1"/>
        <v>105.26315789473684</v>
      </c>
      <c r="L6" s="197">
        <v>19</v>
      </c>
      <c r="M6" s="19">
        <f t="shared" si="2"/>
        <v>1943.076923076922</v>
      </c>
      <c r="N6" s="18">
        <f t="shared" si="3"/>
        <v>102.26720647773273</v>
      </c>
      <c r="O6" s="20">
        <f t="shared" si="4"/>
        <v>0</v>
      </c>
      <c r="P6" s="21">
        <f t="shared" si="5"/>
        <v>-2.9959514170041075</v>
      </c>
      <c r="Q6" s="191">
        <f t="shared" si="6"/>
        <v>0.97153846153846102</v>
      </c>
      <c r="R6" s="573"/>
      <c r="S6" s="49">
        <v>0.74583333333333335</v>
      </c>
      <c r="T6" s="49">
        <v>0.7729166666666667</v>
      </c>
      <c r="U6" s="188">
        <f t="shared" ref="U6:U9" si="10">IF(S6=TIME(17,0,0),"",(S6-T5)*24*60)</f>
        <v>5.9999999999999787</v>
      </c>
      <c r="V6" s="198">
        <f t="shared" si="7"/>
        <v>39.000000000000021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-56.923076923078042</v>
      </c>
      <c r="AF6" s="191">
        <f t="shared" si="9"/>
        <v>0.97153846153846102</v>
      </c>
      <c r="AG6" s="573"/>
    </row>
    <row r="7" spans="1:33">
      <c r="A7" s="606" t="s">
        <v>1019</v>
      </c>
      <c r="B7" s="39" t="s">
        <v>74</v>
      </c>
      <c r="C7" s="598" t="s">
        <v>77</v>
      </c>
      <c r="D7" s="599"/>
      <c r="E7" s="39">
        <v>50.67</v>
      </c>
      <c r="F7" s="199">
        <v>1697</v>
      </c>
      <c r="G7" s="188">
        <f t="shared" si="0"/>
        <v>85986.99</v>
      </c>
      <c r="H7" s="48" t="s">
        <v>126</v>
      </c>
      <c r="I7" s="197">
        <v>15</v>
      </c>
      <c r="J7" s="43">
        <v>2000</v>
      </c>
      <c r="K7" s="18">
        <f t="shared" si="1"/>
        <v>133.33333333333334</v>
      </c>
      <c r="L7" s="197">
        <v>15</v>
      </c>
      <c r="M7" s="19">
        <f t="shared" si="2"/>
        <v>1921.1320754716994</v>
      </c>
      <c r="N7" s="18">
        <f t="shared" si="3"/>
        <v>128.07547169811329</v>
      </c>
      <c r="O7" s="20">
        <f t="shared" si="4"/>
        <v>0</v>
      </c>
      <c r="P7" s="21">
        <f t="shared" si="5"/>
        <v>-5.2578616352200527</v>
      </c>
      <c r="Q7" s="191">
        <f t="shared" si="6"/>
        <v>0.96056603773584959</v>
      </c>
      <c r="R7" s="573"/>
      <c r="S7" s="49">
        <v>0.77638888888888891</v>
      </c>
      <c r="T7" s="49">
        <v>0.81319444444444444</v>
      </c>
      <c r="U7" s="188">
        <f t="shared" si="10"/>
        <v>4.9999999999999822</v>
      </c>
      <c r="V7" s="198">
        <f t="shared" si="7"/>
        <v>52.999999999999972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-78.867924528300591</v>
      </c>
      <c r="AF7" s="191">
        <f t="shared" si="9"/>
        <v>0.9605660377358497</v>
      </c>
      <c r="AG7" s="573"/>
    </row>
    <row r="8" spans="1:33">
      <c r="A8" s="606" t="s">
        <v>1020</v>
      </c>
      <c r="B8" s="39" t="s">
        <v>74</v>
      </c>
      <c r="C8" s="598" t="s">
        <v>78</v>
      </c>
      <c r="D8" s="599"/>
      <c r="E8" s="39">
        <v>52.86</v>
      </c>
      <c r="F8" s="199">
        <v>800</v>
      </c>
      <c r="G8" s="188">
        <f t="shared" si="0"/>
        <v>42288</v>
      </c>
      <c r="H8" s="48">
        <v>2</v>
      </c>
      <c r="I8" s="197">
        <v>16</v>
      </c>
      <c r="J8" s="43">
        <v>2000</v>
      </c>
      <c r="K8" s="18">
        <f t="shared" si="1"/>
        <v>125</v>
      </c>
      <c r="L8" s="197">
        <v>16</v>
      </c>
      <c r="M8" s="19">
        <f t="shared" si="2"/>
        <v>1919.9999999999945</v>
      </c>
      <c r="N8" s="18">
        <f t="shared" si="3"/>
        <v>119.99999999999966</v>
      </c>
      <c r="O8" s="20">
        <f t="shared" si="4"/>
        <v>0</v>
      </c>
      <c r="P8" s="21">
        <f t="shared" si="5"/>
        <v>-5.0000000000003411</v>
      </c>
      <c r="Q8" s="191">
        <f t="shared" si="6"/>
        <v>0.9599999999999973</v>
      </c>
      <c r="R8" s="573"/>
      <c r="S8" s="49">
        <v>0.81805555555555554</v>
      </c>
      <c r="T8" s="49">
        <v>0.8354166666666667</v>
      </c>
      <c r="U8" s="188">
        <f t="shared" si="10"/>
        <v>6.9999999999999751</v>
      </c>
      <c r="V8" s="198">
        <f t="shared" si="7"/>
        <v>25.000000000000071</v>
      </c>
      <c r="W8" s="25">
        <f>T8</f>
        <v>0.8354166666666667</v>
      </c>
      <c r="X8" s="25">
        <f>S9</f>
        <v>0.87569444444444444</v>
      </c>
      <c r="Y8" s="31"/>
      <c r="Z8" s="31"/>
      <c r="AA8" s="568"/>
      <c r="AB8" s="569"/>
      <c r="AC8" s="50"/>
      <c r="AD8" s="29"/>
      <c r="AE8" s="20">
        <f t="shared" si="8"/>
        <v>-80.000000000005457</v>
      </c>
      <c r="AF8" s="191">
        <f t="shared" si="9"/>
        <v>0.9599999999999973</v>
      </c>
      <c r="AG8" s="573"/>
    </row>
    <row r="9" spans="1:33">
      <c r="A9" s="606" t="s">
        <v>1021</v>
      </c>
      <c r="B9" s="39" t="s">
        <v>74</v>
      </c>
      <c r="C9" s="598" t="s">
        <v>78</v>
      </c>
      <c r="D9" s="599"/>
      <c r="E9" s="39">
        <v>52.86</v>
      </c>
      <c r="F9" s="199">
        <v>964</v>
      </c>
      <c r="G9" s="188">
        <f t="shared" si="0"/>
        <v>50957.04</v>
      </c>
      <c r="H9" s="48" t="s">
        <v>126</v>
      </c>
      <c r="I9" s="197">
        <v>16</v>
      </c>
      <c r="J9" s="43">
        <v>2000</v>
      </c>
      <c r="K9" s="18">
        <f t="shared" si="1"/>
        <v>125</v>
      </c>
      <c r="L9" s="197">
        <v>16</v>
      </c>
      <c r="M9" s="19">
        <f t="shared" si="2"/>
        <v>1927.9999999999966</v>
      </c>
      <c r="N9" s="18">
        <f t="shared" si="3"/>
        <v>120.49999999999979</v>
      </c>
      <c r="O9" s="20">
        <f t="shared" si="4"/>
        <v>0</v>
      </c>
      <c r="P9" s="21">
        <f t="shared" si="5"/>
        <v>-4.5000000000002132</v>
      </c>
      <c r="Q9" s="191">
        <f t="shared" si="6"/>
        <v>0.9639999999999983</v>
      </c>
      <c r="R9" s="573"/>
      <c r="S9" s="49">
        <v>0.87569444444444444</v>
      </c>
      <c r="T9" s="49">
        <v>0.89652777777777781</v>
      </c>
      <c r="U9" s="188">
        <f t="shared" si="10"/>
        <v>57.999999999999957</v>
      </c>
      <c r="V9" s="198">
        <f t="shared" si="7"/>
        <v>30.000000000000053</v>
      </c>
      <c r="W9" s="25"/>
      <c r="X9" s="25"/>
      <c r="Y9" s="28"/>
      <c r="Z9" s="28"/>
      <c r="AA9" s="568"/>
      <c r="AB9" s="569"/>
      <c r="AC9" s="50"/>
      <c r="AD9" s="29"/>
      <c r="AE9" s="20">
        <f t="shared" si="8"/>
        <v>-72.000000000003411</v>
      </c>
      <c r="AF9" s="191">
        <f t="shared" si="9"/>
        <v>0.9639999999999983</v>
      </c>
      <c r="AG9" s="573"/>
    </row>
    <row r="10" spans="1:33">
      <c r="A10" s="606" t="s">
        <v>1020</v>
      </c>
      <c r="B10" s="39" t="s">
        <v>1022</v>
      </c>
      <c r="C10" s="576"/>
      <c r="D10" s="576"/>
      <c r="E10" s="196"/>
      <c r="F10" s="42"/>
      <c r="G10" s="18"/>
      <c r="H10" s="199"/>
      <c r="I10" s="32">
        <v>16.600000000000001</v>
      </c>
      <c r="J10" s="43">
        <v>2000</v>
      </c>
      <c r="K10" s="18">
        <f t="shared" si="1"/>
        <v>120.48192771084337</v>
      </c>
      <c r="L10" s="32">
        <v>16.600000000000001</v>
      </c>
      <c r="M10" s="19">
        <f>AVERAGE(M5:M9)</f>
        <v>1928.1917997097225</v>
      </c>
      <c r="N10" s="18">
        <f t="shared" si="3"/>
        <v>116.15613251263387</v>
      </c>
      <c r="O10" s="20">
        <f t="shared" si="4"/>
        <v>0</v>
      </c>
      <c r="P10" s="21">
        <f t="shared" si="5"/>
        <v>-4.3257951982094909</v>
      </c>
      <c r="Q10" s="191">
        <f t="shared" si="6"/>
        <v>0.96409589985486122</v>
      </c>
      <c r="R10" s="573"/>
      <c r="S10" s="49"/>
      <c r="T10" s="49"/>
      <c r="U10" s="188"/>
      <c r="V10" s="198"/>
      <c r="W10" s="18"/>
      <c r="X10" s="18"/>
      <c r="Y10" s="33">
        <f>SUM(Y5:Y9)</f>
        <v>0</v>
      </c>
      <c r="Z10" s="33">
        <f>SUM(Z5:Z9)</f>
        <v>0</v>
      </c>
      <c r="AA10" s="572"/>
      <c r="AB10" s="572"/>
      <c r="AC10" s="33">
        <v>5</v>
      </c>
      <c r="AD10" s="33">
        <f>SUM(AD5:AD9)</f>
        <v>0</v>
      </c>
      <c r="AE10" s="20">
        <f t="shared" si="8"/>
        <v>-71.808200290277455</v>
      </c>
      <c r="AF10" s="191">
        <f t="shared" si="9"/>
        <v>0.96409589985486133</v>
      </c>
      <c r="AG10" s="573"/>
    </row>
    <row r="11" spans="1:33" ht="15.75" customHeight="1">
      <c r="A11" s="602" t="s">
        <v>47</v>
      </c>
      <c r="B11" s="39" t="s">
        <v>79</v>
      </c>
      <c r="C11" s="598" t="s">
        <v>80</v>
      </c>
      <c r="D11" s="599"/>
      <c r="E11" s="39">
        <v>39.619999999999997</v>
      </c>
      <c r="F11" s="199">
        <v>5289</v>
      </c>
      <c r="G11" s="188">
        <f t="shared" ref="G11:G13" si="11">E11*F11</f>
        <v>209550.18</v>
      </c>
      <c r="H11" s="48" t="s">
        <v>126</v>
      </c>
      <c r="I11" s="197">
        <v>19</v>
      </c>
      <c r="J11" s="43">
        <v>1500</v>
      </c>
      <c r="K11" s="18">
        <f t="shared" si="1"/>
        <v>78.94736842105263</v>
      </c>
      <c r="L11" s="197">
        <v>19</v>
      </c>
      <c r="M11" s="19">
        <f t="shared" ref="M11:M13" si="12">F11/V11*60</f>
        <v>1429.4594594594591</v>
      </c>
      <c r="N11" s="18">
        <f t="shared" si="3"/>
        <v>75.23470839260311</v>
      </c>
      <c r="O11" s="20">
        <f t="shared" si="4"/>
        <v>0</v>
      </c>
      <c r="P11" s="21">
        <f t="shared" si="5"/>
        <v>-3.7126600284495197</v>
      </c>
      <c r="Q11" s="191">
        <f t="shared" si="6"/>
        <v>0.95297297297297279</v>
      </c>
      <c r="R11" s="573">
        <f>Q14</f>
        <v>0.95585301729814331</v>
      </c>
      <c r="S11" s="49">
        <v>0.20833333333333334</v>
      </c>
      <c r="T11" s="49">
        <v>0.36250000000000004</v>
      </c>
      <c r="U11" s="188"/>
      <c r="V11" s="198">
        <f t="shared" ref="V11:V13" si="13">(T11-S11)*24*60</f>
        <v>222.00000000000006</v>
      </c>
      <c r="W11" s="25"/>
      <c r="X11" s="25"/>
      <c r="Y11" s="25"/>
      <c r="Z11" s="25"/>
      <c r="AA11" s="575"/>
      <c r="AB11" s="575"/>
      <c r="AC11" s="50">
        <v>3</v>
      </c>
      <c r="AD11" s="27"/>
      <c r="AE11" s="20">
        <f t="shared" si="8"/>
        <v>-70.54054054054086</v>
      </c>
      <c r="AF11" s="191">
        <f t="shared" si="9"/>
        <v>0.95297297297297279</v>
      </c>
      <c r="AG11" s="573">
        <f>AF14</f>
        <v>0.95585301729814331</v>
      </c>
    </row>
    <row r="12" spans="1:33" ht="15.75" customHeight="1">
      <c r="A12" s="602" t="s">
        <v>47</v>
      </c>
      <c r="B12" s="39" t="s">
        <v>79</v>
      </c>
      <c r="C12" s="598" t="s">
        <v>81</v>
      </c>
      <c r="D12" s="599"/>
      <c r="E12" s="39">
        <v>39.799999999999997</v>
      </c>
      <c r="F12" s="199">
        <v>3900</v>
      </c>
      <c r="G12" s="188">
        <f t="shared" si="11"/>
        <v>155220</v>
      </c>
      <c r="H12" s="48">
        <v>2</v>
      </c>
      <c r="I12" s="197">
        <v>17</v>
      </c>
      <c r="J12" s="43">
        <v>1500</v>
      </c>
      <c r="K12" s="18">
        <f t="shared" si="1"/>
        <v>88.235294117647058</v>
      </c>
      <c r="L12" s="197">
        <v>17</v>
      </c>
      <c r="M12" s="19">
        <f t="shared" si="12"/>
        <v>1435.5828220858898</v>
      </c>
      <c r="N12" s="18">
        <f t="shared" si="3"/>
        <v>84.446048357993519</v>
      </c>
      <c r="O12" s="20">
        <f t="shared" si="4"/>
        <v>0</v>
      </c>
      <c r="P12" s="21">
        <f t="shared" si="5"/>
        <v>-3.7892457596535394</v>
      </c>
      <c r="Q12" s="191">
        <f t="shared" si="6"/>
        <v>0.95705521472392652</v>
      </c>
      <c r="R12" s="573"/>
      <c r="S12" s="49">
        <v>0.36597222222222225</v>
      </c>
      <c r="T12" s="49">
        <v>0.47916666666666669</v>
      </c>
      <c r="U12" s="188">
        <f t="shared" ref="U12:U13" si="14">IF(S12=TIME(17,0,0),"",(S12-T11)*24*60)</f>
        <v>4.9999999999999822</v>
      </c>
      <c r="V12" s="198">
        <f t="shared" si="13"/>
        <v>162.99999999999997</v>
      </c>
      <c r="W12" s="25">
        <f>T12</f>
        <v>0.47916666666666669</v>
      </c>
      <c r="X12" s="25">
        <f>S13</f>
        <v>0.52013888888888893</v>
      </c>
      <c r="Y12" s="25"/>
      <c r="Z12" s="25"/>
      <c r="AA12" s="575"/>
      <c r="AB12" s="575"/>
      <c r="AC12" s="50"/>
      <c r="AD12" s="27"/>
      <c r="AE12" s="20">
        <f t="shared" si="8"/>
        <v>-64.417177914110198</v>
      </c>
      <c r="AF12" s="191">
        <f t="shared" si="9"/>
        <v>0.95705521472392652</v>
      </c>
      <c r="AG12" s="573"/>
    </row>
    <row r="13" spans="1:33" ht="15.75" customHeight="1">
      <c r="A13" s="602" t="s">
        <v>1023</v>
      </c>
      <c r="B13" s="39" t="s">
        <v>79</v>
      </c>
      <c r="C13" s="598" t="s">
        <v>81</v>
      </c>
      <c r="D13" s="599"/>
      <c r="E13" s="39">
        <v>39.799999999999997</v>
      </c>
      <c r="F13" s="199">
        <v>3878</v>
      </c>
      <c r="G13" s="188">
        <f t="shared" si="11"/>
        <v>154344.4</v>
      </c>
      <c r="H13" s="48" t="s">
        <v>126</v>
      </c>
      <c r="I13" s="197">
        <v>17</v>
      </c>
      <c r="J13" s="43">
        <v>1500</v>
      </c>
      <c r="K13" s="18">
        <f t="shared" si="1"/>
        <v>88.235294117647058</v>
      </c>
      <c r="L13" s="197">
        <v>17</v>
      </c>
      <c r="M13" s="19">
        <f t="shared" si="12"/>
        <v>1436.2962962962956</v>
      </c>
      <c r="N13" s="18">
        <f t="shared" si="3"/>
        <v>84.48801742919386</v>
      </c>
      <c r="O13" s="20">
        <f t="shared" si="4"/>
        <v>0</v>
      </c>
      <c r="P13" s="21">
        <f t="shared" si="5"/>
        <v>-3.7472766884531978</v>
      </c>
      <c r="Q13" s="191">
        <f t="shared" si="6"/>
        <v>0.95753086419753042</v>
      </c>
      <c r="R13" s="573"/>
      <c r="S13" s="49">
        <v>0.52013888888888893</v>
      </c>
      <c r="T13" s="49">
        <v>0.63263888888888897</v>
      </c>
      <c r="U13" s="188">
        <f t="shared" si="14"/>
        <v>59.000000000000028</v>
      </c>
      <c r="V13" s="198">
        <f t="shared" si="13"/>
        <v>162.00000000000006</v>
      </c>
      <c r="W13" s="25"/>
      <c r="X13" s="25"/>
      <c r="Y13" s="25"/>
      <c r="Z13" s="25"/>
      <c r="AA13" s="575"/>
      <c r="AB13" s="575"/>
      <c r="AC13" s="50"/>
      <c r="AD13" s="27"/>
      <c r="AE13" s="20">
        <f t="shared" si="8"/>
        <v>-63.703703703704377</v>
      </c>
      <c r="AF13" s="191">
        <f t="shared" si="9"/>
        <v>0.95753086419753042</v>
      </c>
      <c r="AG13" s="573"/>
    </row>
    <row r="14" spans="1:33" ht="16.5" customHeight="1">
      <c r="A14" s="602" t="s">
        <v>47</v>
      </c>
      <c r="B14" s="39" t="s">
        <v>46</v>
      </c>
      <c r="C14" s="576"/>
      <c r="D14" s="576"/>
      <c r="E14" s="196"/>
      <c r="F14" s="43"/>
      <c r="G14" s="19"/>
      <c r="H14" s="199"/>
      <c r="I14" s="32">
        <v>17.666666666666668</v>
      </c>
      <c r="J14" s="43">
        <v>1500</v>
      </c>
      <c r="K14" s="18">
        <f t="shared" si="1"/>
        <v>84.905660377358487</v>
      </c>
      <c r="L14" s="32">
        <v>17.666666666666668</v>
      </c>
      <c r="M14" s="19">
        <f>AVERAGE(M11:M13)</f>
        <v>1433.779525947215</v>
      </c>
      <c r="N14" s="18">
        <f t="shared" si="3"/>
        <v>81.15733165738952</v>
      </c>
      <c r="O14" s="20">
        <f t="shared" si="4"/>
        <v>0</v>
      </c>
      <c r="P14" s="21">
        <f t="shared" si="5"/>
        <v>-3.748328719968967</v>
      </c>
      <c r="Q14" s="191">
        <f t="shared" si="6"/>
        <v>0.95585301729814331</v>
      </c>
      <c r="R14" s="573"/>
      <c r="S14" s="49"/>
      <c r="T14" s="49"/>
      <c r="U14" s="18"/>
      <c r="V14" s="198"/>
      <c r="W14" s="18"/>
      <c r="X14" s="18"/>
      <c r="Y14" s="33">
        <f>SUM(Y11:Y13)</f>
        <v>0</v>
      </c>
      <c r="Z14" s="33">
        <f>SUM(Z11:Z13)</f>
        <v>0</v>
      </c>
      <c r="AA14" s="572"/>
      <c r="AB14" s="572"/>
      <c r="AC14" s="33">
        <v>3</v>
      </c>
      <c r="AD14" s="33">
        <f>SUM(AD11:AD13)</f>
        <v>0</v>
      </c>
      <c r="AE14" s="20">
        <f t="shared" si="8"/>
        <v>-66.220474052784994</v>
      </c>
      <c r="AF14" s="191">
        <f t="shared" si="9"/>
        <v>0.95585301729814331</v>
      </c>
      <c r="AG14" s="573"/>
    </row>
    <row r="15" spans="1:33" ht="16.5" customHeight="1">
      <c r="A15" s="600" t="s">
        <v>1024</v>
      </c>
      <c r="B15" s="199" t="s">
        <v>82</v>
      </c>
      <c r="C15" s="594" t="s">
        <v>83</v>
      </c>
      <c r="D15" s="594"/>
      <c r="E15" s="39">
        <v>41</v>
      </c>
      <c r="F15" s="199">
        <v>2133</v>
      </c>
      <c r="G15" s="188">
        <f t="shared" ref="G15:G18" si="15">E15*F15</f>
        <v>87453</v>
      </c>
      <c r="H15" s="48" t="s">
        <v>126</v>
      </c>
      <c r="I15" s="197">
        <v>26</v>
      </c>
      <c r="J15" s="43">
        <v>1500</v>
      </c>
      <c r="K15" s="18">
        <f t="shared" si="1"/>
        <v>57.692307692307693</v>
      </c>
      <c r="L15" s="197">
        <v>26</v>
      </c>
      <c r="M15" s="19">
        <f t="shared" ref="M15:M18" si="16">F15/V15*60</f>
        <v>1437.9775280898868</v>
      </c>
      <c r="N15" s="18">
        <f t="shared" si="3"/>
        <v>55.306828003457184</v>
      </c>
      <c r="O15" s="20">
        <f t="shared" si="4"/>
        <v>0</v>
      </c>
      <c r="P15" s="21">
        <f t="shared" si="5"/>
        <v>-2.3854796888505092</v>
      </c>
      <c r="Q15" s="191">
        <f t="shared" si="6"/>
        <v>0.95865168539325785</v>
      </c>
      <c r="R15" s="573">
        <f>Q19</f>
        <v>0.95860541346139538</v>
      </c>
      <c r="S15" s="49">
        <v>0.20833333333333334</v>
      </c>
      <c r="T15" s="49">
        <v>0.27013888888888893</v>
      </c>
      <c r="U15" s="188"/>
      <c r="V15" s="198">
        <f t="shared" ref="V15:V18" si="17">(T15-S15)*24*60</f>
        <v>89.000000000000043</v>
      </c>
      <c r="W15" s="30"/>
      <c r="X15" s="30"/>
      <c r="Y15" s="30"/>
      <c r="Z15" s="30"/>
      <c r="AA15" s="575"/>
      <c r="AB15" s="575"/>
      <c r="AC15" s="50">
        <v>4</v>
      </c>
      <c r="AD15" s="27"/>
      <c r="AE15" s="20">
        <f t="shared" si="8"/>
        <v>-62.022471910113154</v>
      </c>
      <c r="AF15" s="191">
        <f t="shared" si="9"/>
        <v>0.95865168539325785</v>
      </c>
      <c r="AG15" s="573">
        <f>AF19</f>
        <v>0.95860541346139549</v>
      </c>
    </row>
    <row r="16" spans="1:33" ht="16.5" customHeight="1">
      <c r="A16" s="601" t="s">
        <v>50</v>
      </c>
      <c r="B16" s="199" t="s">
        <v>74</v>
      </c>
      <c r="C16" s="594" t="s">
        <v>85</v>
      </c>
      <c r="D16" s="594"/>
      <c r="E16" s="39">
        <v>53.68</v>
      </c>
      <c r="F16" s="199">
        <v>1313</v>
      </c>
      <c r="G16" s="188">
        <f t="shared" si="15"/>
        <v>70481.84</v>
      </c>
      <c r="H16" s="48" t="s">
        <v>126</v>
      </c>
      <c r="I16" s="197">
        <v>16</v>
      </c>
      <c r="J16" s="43">
        <v>1500</v>
      </c>
      <c r="K16" s="18">
        <f t="shared" si="1"/>
        <v>93.75</v>
      </c>
      <c r="L16" s="197">
        <v>16</v>
      </c>
      <c r="M16" s="19">
        <f t="shared" si="16"/>
        <v>1432.3636363636374</v>
      </c>
      <c r="N16" s="18">
        <f t="shared" si="3"/>
        <v>89.522727272727337</v>
      </c>
      <c r="O16" s="20">
        <f t="shared" si="4"/>
        <v>0</v>
      </c>
      <c r="P16" s="21">
        <f t="shared" si="5"/>
        <v>-4.2272727272726627</v>
      </c>
      <c r="Q16" s="191">
        <f t="shared" si="6"/>
        <v>0.9549090909090916</v>
      </c>
      <c r="R16" s="573"/>
      <c r="S16" s="49">
        <v>0.70833333333333337</v>
      </c>
      <c r="T16" s="49">
        <v>0.74652777777777779</v>
      </c>
      <c r="U16" s="188" t="str">
        <f t="shared" ref="U16:U18" si="18">IF(S16=TIME(17,0,0),"",(S16-T15)*24*60)</f>
        <v/>
      </c>
      <c r="V16" s="198">
        <f t="shared" si="17"/>
        <v>54.999999999999964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-67.636363636362603</v>
      </c>
      <c r="AF16" s="191">
        <f t="shared" si="9"/>
        <v>0.9549090909090916</v>
      </c>
      <c r="AG16" s="573"/>
    </row>
    <row r="17" spans="1:33" ht="16.5" customHeight="1">
      <c r="A17" s="601" t="s">
        <v>1024</v>
      </c>
      <c r="B17" s="199" t="s">
        <v>74</v>
      </c>
      <c r="C17" s="594" t="s">
        <v>86</v>
      </c>
      <c r="D17" s="594"/>
      <c r="E17" s="39">
        <v>50.92</v>
      </c>
      <c r="F17" s="199">
        <v>2644</v>
      </c>
      <c r="G17" s="188">
        <f t="shared" si="15"/>
        <v>134632.48000000001</v>
      </c>
      <c r="H17" s="48" t="s">
        <v>126</v>
      </c>
      <c r="I17" s="197">
        <v>15</v>
      </c>
      <c r="J17" s="43">
        <v>2000</v>
      </c>
      <c r="K17" s="18">
        <f t="shared" si="1"/>
        <v>133.33333333333334</v>
      </c>
      <c r="L17" s="197">
        <v>15</v>
      </c>
      <c r="M17" s="19">
        <f t="shared" si="16"/>
        <v>1911.3253012048185</v>
      </c>
      <c r="N17" s="18">
        <f t="shared" si="3"/>
        <v>127.4216867469879</v>
      </c>
      <c r="O17" s="20">
        <f t="shared" si="4"/>
        <v>0</v>
      </c>
      <c r="P17" s="21">
        <f t="shared" si="5"/>
        <v>-5.9116465863454408</v>
      </c>
      <c r="Q17" s="191">
        <f t="shared" si="6"/>
        <v>0.95566265060240918</v>
      </c>
      <c r="R17" s="573"/>
      <c r="S17" s="49">
        <v>0.75069444444444444</v>
      </c>
      <c r="T17" s="49">
        <v>0.80833333333333335</v>
      </c>
      <c r="U17" s="188">
        <f t="shared" si="18"/>
        <v>5.9999999999999787</v>
      </c>
      <c r="V17" s="198">
        <f t="shared" si="17"/>
        <v>83.000000000000028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-88.674698795181484</v>
      </c>
      <c r="AF17" s="191">
        <f t="shared" si="9"/>
        <v>0.95566265060240929</v>
      </c>
      <c r="AG17" s="573"/>
    </row>
    <row r="18" spans="1:33" ht="16.5" customHeight="1">
      <c r="A18" s="601" t="s">
        <v>50</v>
      </c>
      <c r="B18" s="199" t="s">
        <v>74</v>
      </c>
      <c r="C18" s="594" t="s">
        <v>87</v>
      </c>
      <c r="D18" s="594"/>
      <c r="E18" s="39">
        <v>57.3</v>
      </c>
      <c r="F18" s="199">
        <v>900</v>
      </c>
      <c r="G18" s="188">
        <f t="shared" si="15"/>
        <v>51570</v>
      </c>
      <c r="H18" s="48">
        <v>2</v>
      </c>
      <c r="I18" s="197">
        <v>13</v>
      </c>
      <c r="J18" s="43">
        <v>2000</v>
      </c>
      <c r="K18" s="18">
        <f t="shared" si="1"/>
        <v>153.84615384615384</v>
      </c>
      <c r="L18" s="197">
        <v>13</v>
      </c>
      <c r="M18" s="19">
        <f t="shared" si="16"/>
        <v>1928.5714285714246</v>
      </c>
      <c r="N18" s="18">
        <f t="shared" si="3"/>
        <v>148.35164835164804</v>
      </c>
      <c r="O18" s="20">
        <f t="shared" si="4"/>
        <v>0</v>
      </c>
      <c r="P18" s="21">
        <f t="shared" si="5"/>
        <v>-5.4945054945058018</v>
      </c>
      <c r="Q18" s="191">
        <f t="shared" si="6"/>
        <v>0.9642857142857123</v>
      </c>
      <c r="R18" s="573"/>
      <c r="S18" s="49">
        <v>0.81180555555555556</v>
      </c>
      <c r="T18" s="49">
        <v>0.83125000000000004</v>
      </c>
      <c r="U18" s="188">
        <f t="shared" si="18"/>
        <v>4.9999999999999822</v>
      </c>
      <c r="V18" s="198">
        <f t="shared" si="17"/>
        <v>28.00000000000006</v>
      </c>
      <c r="W18" s="25"/>
      <c r="X18" s="25"/>
      <c r="Y18" s="25"/>
      <c r="Z18" s="25"/>
      <c r="AA18" s="575"/>
      <c r="AB18" s="575"/>
      <c r="AC18" s="50"/>
      <c r="AD18" s="27"/>
      <c r="AE18" s="20">
        <f t="shared" si="8"/>
        <v>-71.428571428575424</v>
      </c>
      <c r="AF18" s="191">
        <f t="shared" si="9"/>
        <v>0.9642857142857123</v>
      </c>
      <c r="AG18" s="573"/>
    </row>
    <row r="19" spans="1:33" ht="16.5" customHeight="1">
      <c r="A19" s="601" t="s">
        <v>1024</v>
      </c>
      <c r="B19" s="39" t="s">
        <v>46</v>
      </c>
      <c r="C19" s="576"/>
      <c r="D19" s="576"/>
      <c r="E19" s="196"/>
      <c r="F19" s="42"/>
      <c r="G19" s="18"/>
      <c r="H19" s="199"/>
      <c r="I19" s="32">
        <v>17.5</v>
      </c>
      <c r="J19" s="43">
        <v>1750</v>
      </c>
      <c r="K19" s="18">
        <f t="shared" si="1"/>
        <v>100</v>
      </c>
      <c r="L19" s="32">
        <v>17.5</v>
      </c>
      <c r="M19" s="19">
        <f>AVERAGE(M15:M18)</f>
        <v>1677.5594735574421</v>
      </c>
      <c r="N19" s="18">
        <f t="shared" si="3"/>
        <v>95.860541346139541</v>
      </c>
      <c r="O19" s="20">
        <f t="shared" si="4"/>
        <v>0</v>
      </c>
      <c r="P19" s="21">
        <f t="shared" si="5"/>
        <v>-4.1394586538604585</v>
      </c>
      <c r="Q19" s="191">
        <f t="shared" si="6"/>
        <v>0.95860541346139538</v>
      </c>
      <c r="R19" s="573"/>
      <c r="S19" s="49"/>
      <c r="T19" s="49"/>
      <c r="U19" s="188"/>
      <c r="V19" s="198"/>
      <c r="W19" s="18"/>
      <c r="X19" s="18"/>
      <c r="Y19" s="33">
        <f>SUM(Y15:Y18)</f>
        <v>0</v>
      </c>
      <c r="Z19" s="33">
        <f>SUM(Z15:Z18)</f>
        <v>0</v>
      </c>
      <c r="AA19" s="572"/>
      <c r="AB19" s="572"/>
      <c r="AC19" s="33">
        <v>4</v>
      </c>
      <c r="AD19" s="33">
        <f>SUM(AD15:AD18)</f>
        <v>0</v>
      </c>
      <c r="AE19" s="20">
        <f t="shared" si="8"/>
        <v>-72.440526442557939</v>
      </c>
      <c r="AF19" s="191">
        <f t="shared" si="9"/>
        <v>0.95860541346139549</v>
      </c>
      <c r="AG19" s="573"/>
    </row>
    <row r="20" spans="1:33" ht="15.75" customHeight="1">
      <c r="A20" s="596" t="s">
        <v>1025</v>
      </c>
      <c r="B20" s="39" t="s">
        <v>74</v>
      </c>
      <c r="C20" s="594" t="s">
        <v>84</v>
      </c>
      <c r="D20" s="594"/>
      <c r="E20" s="39">
        <v>54.09</v>
      </c>
      <c r="F20" s="199">
        <v>2880</v>
      </c>
      <c r="G20" s="188">
        <f t="shared" ref="G20:G25" si="19">E20*F20</f>
        <v>155779.20000000001</v>
      </c>
      <c r="H20" s="48" t="s">
        <v>126</v>
      </c>
      <c r="I20" s="197">
        <v>17</v>
      </c>
      <c r="J20" s="43">
        <v>1500</v>
      </c>
      <c r="K20" s="18">
        <f t="shared" si="1"/>
        <v>88.235294117647058</v>
      </c>
      <c r="L20" s="197">
        <v>17</v>
      </c>
      <c r="M20" s="19">
        <f t="shared" ref="M20:M25" si="20">F20/V20*60</f>
        <v>1428.0991735537189</v>
      </c>
      <c r="N20" s="18">
        <f t="shared" si="3"/>
        <v>84.005833738454044</v>
      </c>
      <c r="O20" s="20">
        <f t="shared" si="4"/>
        <v>0</v>
      </c>
      <c r="P20" s="21">
        <f t="shared" si="5"/>
        <v>-4.2294603791930143</v>
      </c>
      <c r="Q20" s="191">
        <f t="shared" si="6"/>
        <v>0.95206611570247912</v>
      </c>
      <c r="R20" s="573">
        <f>Q26</f>
        <v>0.96067456302542897</v>
      </c>
      <c r="S20" s="49">
        <v>0.20833333333333334</v>
      </c>
      <c r="T20" s="49">
        <v>0.29236111111111113</v>
      </c>
      <c r="U20" s="188"/>
      <c r="V20" s="198">
        <f t="shared" ref="V20:V25" si="21">(T20-S20)*24*60</f>
        <v>121</v>
      </c>
      <c r="W20" s="30"/>
      <c r="X20" s="30"/>
      <c r="Y20" s="30"/>
      <c r="Z20" s="30"/>
      <c r="AA20" s="575"/>
      <c r="AB20" s="575"/>
      <c r="AC20" s="50">
        <v>6</v>
      </c>
      <c r="AD20" s="27"/>
      <c r="AE20" s="20">
        <f t="shared" si="8"/>
        <v>-71.900826446281144</v>
      </c>
      <c r="AF20" s="191">
        <f t="shared" si="9"/>
        <v>0.95206611570247923</v>
      </c>
      <c r="AG20" s="573">
        <f>AF26</f>
        <v>0.96067456302542897</v>
      </c>
    </row>
    <row r="21" spans="1:33" ht="15.75" customHeight="1">
      <c r="A21" s="597" t="s">
        <v>53</v>
      </c>
      <c r="B21" s="39" t="s">
        <v>74</v>
      </c>
      <c r="C21" s="594" t="s">
        <v>89</v>
      </c>
      <c r="D21" s="594"/>
      <c r="E21" s="39">
        <v>50.67</v>
      </c>
      <c r="F21" s="199">
        <v>2583</v>
      </c>
      <c r="G21" s="188">
        <f t="shared" si="19"/>
        <v>130880.61</v>
      </c>
      <c r="H21" s="48" t="s">
        <v>126</v>
      </c>
      <c r="I21" s="197">
        <v>17</v>
      </c>
      <c r="J21" s="43">
        <v>2000</v>
      </c>
      <c r="K21" s="18">
        <f t="shared" si="1"/>
        <v>117.64705882352941</v>
      </c>
      <c r="L21" s="197">
        <v>17</v>
      </c>
      <c r="M21" s="19">
        <f t="shared" si="20"/>
        <v>1913.3333333333328</v>
      </c>
      <c r="N21" s="18">
        <f t="shared" si="3"/>
        <v>112.54901960784311</v>
      </c>
      <c r="O21" s="20">
        <f t="shared" si="4"/>
        <v>0</v>
      </c>
      <c r="P21" s="21">
        <f t="shared" si="5"/>
        <v>-5.098039215686299</v>
      </c>
      <c r="Q21" s="191">
        <f t="shared" si="6"/>
        <v>0.95666666666666644</v>
      </c>
      <c r="R21" s="573"/>
      <c r="S21" s="49">
        <v>0.29722222222222222</v>
      </c>
      <c r="T21" s="49">
        <v>0.35347222222222224</v>
      </c>
      <c r="U21" s="188">
        <f t="shared" ref="U21:U25" si="22">IF(S21=TIME(17,0,0),"",(S21-T20)*24*60)</f>
        <v>6.9999999999999751</v>
      </c>
      <c r="V21" s="198">
        <f t="shared" si="21"/>
        <v>81.000000000000028</v>
      </c>
      <c r="W21" s="25"/>
      <c r="X21" s="188"/>
      <c r="Y21" s="188"/>
      <c r="Z21" s="188"/>
      <c r="AA21" s="575"/>
      <c r="AB21" s="575"/>
      <c r="AC21" s="50"/>
      <c r="AD21" s="27"/>
      <c r="AE21" s="20">
        <f t="shared" si="8"/>
        <v>-86.666666666667197</v>
      </c>
      <c r="AF21" s="191">
        <f t="shared" si="9"/>
        <v>0.95666666666666644</v>
      </c>
      <c r="AG21" s="573"/>
    </row>
    <row r="22" spans="1:33" ht="15.75" customHeight="1">
      <c r="A22" s="597" t="s">
        <v>1025</v>
      </c>
      <c r="B22" s="39" t="s">
        <v>74</v>
      </c>
      <c r="C22" s="594" t="s">
        <v>90</v>
      </c>
      <c r="D22" s="594"/>
      <c r="E22" s="39">
        <v>57.73</v>
      </c>
      <c r="F22" s="199">
        <v>2831</v>
      </c>
      <c r="G22" s="188">
        <f t="shared" si="19"/>
        <v>163433.63</v>
      </c>
      <c r="H22" s="48" t="s">
        <v>126</v>
      </c>
      <c r="I22" s="197">
        <v>14</v>
      </c>
      <c r="J22" s="43">
        <v>2000</v>
      </c>
      <c r="K22" s="18">
        <f t="shared" si="1"/>
        <v>142.85714285714286</v>
      </c>
      <c r="L22" s="197">
        <v>14</v>
      </c>
      <c r="M22" s="19">
        <f t="shared" si="20"/>
        <v>1908.5393258426966</v>
      </c>
      <c r="N22" s="18">
        <f t="shared" si="3"/>
        <v>136.32423756019261</v>
      </c>
      <c r="O22" s="20">
        <f t="shared" si="4"/>
        <v>0</v>
      </c>
      <c r="P22" s="21">
        <f t="shared" si="5"/>
        <v>-6.532905296950247</v>
      </c>
      <c r="Q22" s="191">
        <f t="shared" si="6"/>
        <v>0.95426966292134829</v>
      </c>
      <c r="R22" s="573"/>
      <c r="S22" s="49">
        <v>0.35694444444444445</v>
      </c>
      <c r="T22" s="49">
        <v>0.41875000000000001</v>
      </c>
      <c r="U22" s="188">
        <f t="shared" si="22"/>
        <v>4.9999999999999822</v>
      </c>
      <c r="V22" s="198">
        <f t="shared" si="21"/>
        <v>89</v>
      </c>
      <c r="W22" s="25"/>
      <c r="X22" s="188"/>
      <c r="Y22" s="188"/>
      <c r="Z22" s="188"/>
      <c r="AA22" s="575"/>
      <c r="AB22" s="575"/>
      <c r="AC22" s="50"/>
      <c r="AD22" s="27"/>
      <c r="AE22" s="20">
        <f t="shared" si="8"/>
        <v>-91.460674157303401</v>
      </c>
      <c r="AF22" s="191">
        <f t="shared" si="9"/>
        <v>0.95426966292134829</v>
      </c>
      <c r="AG22" s="573"/>
    </row>
    <row r="23" spans="1:33" ht="15.75" customHeight="1">
      <c r="A23" s="597" t="s">
        <v>53</v>
      </c>
      <c r="B23" s="39" t="s">
        <v>74</v>
      </c>
      <c r="C23" s="594" t="s">
        <v>92</v>
      </c>
      <c r="D23" s="594"/>
      <c r="E23" s="39">
        <v>50.49</v>
      </c>
      <c r="F23" s="199">
        <v>2123</v>
      </c>
      <c r="G23" s="188">
        <f t="shared" si="19"/>
        <v>107190.27</v>
      </c>
      <c r="H23" s="48" t="s">
        <v>126</v>
      </c>
      <c r="I23" s="197">
        <v>15</v>
      </c>
      <c r="J23" s="43">
        <v>2000</v>
      </c>
      <c r="K23" s="18">
        <f t="shared" si="1"/>
        <v>133.33333333333334</v>
      </c>
      <c r="L23" s="197">
        <v>15</v>
      </c>
      <c r="M23" s="19">
        <f t="shared" si="20"/>
        <v>1930.000000000002</v>
      </c>
      <c r="N23" s="18">
        <f t="shared" si="3"/>
        <v>128.6666666666668</v>
      </c>
      <c r="O23" s="20">
        <f t="shared" si="4"/>
        <v>0</v>
      </c>
      <c r="P23" s="21">
        <f t="shared" si="5"/>
        <v>-4.6666666666665435</v>
      </c>
      <c r="Q23" s="191">
        <f t="shared" si="6"/>
        <v>0.96500000000000097</v>
      </c>
      <c r="R23" s="573"/>
      <c r="S23" s="49">
        <v>0.70833333333333337</v>
      </c>
      <c r="T23" s="49">
        <v>0.75416666666666665</v>
      </c>
      <c r="U23" s="188" t="str">
        <f t="shared" si="22"/>
        <v/>
      </c>
      <c r="V23" s="198">
        <f t="shared" si="21"/>
        <v>65.999999999999929</v>
      </c>
      <c r="W23" s="25"/>
      <c r="X23" s="188"/>
      <c r="Y23" s="188"/>
      <c r="Z23" s="188"/>
      <c r="AA23" s="575"/>
      <c r="AB23" s="575"/>
      <c r="AC23" s="50"/>
      <c r="AD23" s="27"/>
      <c r="AE23" s="20">
        <f t="shared" si="8"/>
        <v>-69.999999999997954</v>
      </c>
      <c r="AF23" s="191">
        <f t="shared" si="9"/>
        <v>0.96500000000000097</v>
      </c>
      <c r="AG23" s="573"/>
    </row>
    <row r="24" spans="1:33" ht="15.75" customHeight="1">
      <c r="A24" s="597" t="s">
        <v>53</v>
      </c>
      <c r="B24" s="39" t="s">
        <v>74</v>
      </c>
      <c r="C24" s="594" t="s">
        <v>93</v>
      </c>
      <c r="D24" s="594"/>
      <c r="E24" s="39">
        <v>50.98</v>
      </c>
      <c r="F24" s="199">
        <v>2732</v>
      </c>
      <c r="G24" s="188">
        <f t="shared" si="19"/>
        <v>139277.35999999999</v>
      </c>
      <c r="H24" s="48" t="s">
        <v>126</v>
      </c>
      <c r="I24" s="197">
        <v>16</v>
      </c>
      <c r="J24" s="43">
        <v>2000</v>
      </c>
      <c r="K24" s="18">
        <f t="shared" si="1"/>
        <v>125</v>
      </c>
      <c r="L24" s="197">
        <v>16</v>
      </c>
      <c r="M24" s="19">
        <f t="shared" si="20"/>
        <v>1906.0465116279067</v>
      </c>
      <c r="N24" s="18">
        <f t="shared" si="3"/>
        <v>119.12790697674417</v>
      </c>
      <c r="O24" s="20">
        <f t="shared" si="4"/>
        <v>0</v>
      </c>
      <c r="P24" s="21">
        <f t="shared" si="5"/>
        <v>-5.8720930232558288</v>
      </c>
      <c r="Q24" s="191">
        <f t="shared" si="6"/>
        <v>0.95302325581395342</v>
      </c>
      <c r="R24" s="573"/>
      <c r="S24" s="49">
        <v>0.75902777777777775</v>
      </c>
      <c r="T24" s="49">
        <v>0.81874999999999998</v>
      </c>
      <c r="U24" s="188">
        <f t="shared" si="22"/>
        <v>6.9999999999999751</v>
      </c>
      <c r="V24" s="198">
        <f t="shared" si="21"/>
        <v>86.000000000000014</v>
      </c>
      <c r="W24" s="25"/>
      <c r="X24" s="25"/>
      <c r="Y24" s="188"/>
      <c r="Z24" s="188"/>
      <c r="AA24" s="575"/>
      <c r="AB24" s="575"/>
      <c r="AC24" s="50"/>
      <c r="AD24" s="27"/>
      <c r="AE24" s="20">
        <f t="shared" si="8"/>
        <v>-93.953488372093261</v>
      </c>
      <c r="AF24" s="191">
        <f t="shared" si="9"/>
        <v>0.95302325581395342</v>
      </c>
      <c r="AG24" s="573"/>
    </row>
    <row r="25" spans="1:33" ht="15.75" customHeight="1">
      <c r="A25" s="597" t="s">
        <v>53</v>
      </c>
      <c r="B25" s="39" t="s">
        <v>74</v>
      </c>
      <c r="C25" s="594" t="s">
        <v>87</v>
      </c>
      <c r="D25" s="594"/>
      <c r="E25" s="39">
        <v>57.3</v>
      </c>
      <c r="F25" s="199">
        <v>752</v>
      </c>
      <c r="G25" s="188">
        <f t="shared" si="19"/>
        <v>43089.599999999999</v>
      </c>
      <c r="H25" s="48" t="s">
        <v>126</v>
      </c>
      <c r="I25" s="197">
        <v>13</v>
      </c>
      <c r="J25" s="43">
        <v>2000</v>
      </c>
      <c r="K25" s="18">
        <f t="shared" si="1"/>
        <v>153.84615384615384</v>
      </c>
      <c r="L25" s="197">
        <v>13</v>
      </c>
      <c r="M25" s="19">
        <f t="shared" si="20"/>
        <v>1961.7391304347759</v>
      </c>
      <c r="N25" s="18">
        <f t="shared" si="3"/>
        <v>150.9030100334443</v>
      </c>
      <c r="O25" s="20">
        <f t="shared" si="4"/>
        <v>0</v>
      </c>
      <c r="P25" s="21">
        <f t="shared" si="5"/>
        <v>-2.9431438127095362</v>
      </c>
      <c r="Q25" s="191">
        <f t="shared" si="6"/>
        <v>0.980869565217388</v>
      </c>
      <c r="R25" s="573"/>
      <c r="S25" s="49">
        <v>0.82361111111111107</v>
      </c>
      <c r="T25" s="49">
        <v>0.83958333333333335</v>
      </c>
      <c r="U25" s="188">
        <f t="shared" si="22"/>
        <v>6.9999999999999751</v>
      </c>
      <c r="V25" s="198">
        <f t="shared" si="21"/>
        <v>23.000000000000078</v>
      </c>
      <c r="W25" s="25"/>
      <c r="X25" s="30"/>
      <c r="Y25" s="30"/>
      <c r="Z25" s="30"/>
      <c r="AA25" s="575"/>
      <c r="AB25" s="575"/>
      <c r="AC25" s="50"/>
      <c r="AD25" s="27"/>
      <c r="AE25" s="20">
        <f t="shared" si="8"/>
        <v>-38.260869565224084</v>
      </c>
      <c r="AF25" s="191">
        <f t="shared" si="9"/>
        <v>0.980869565217388</v>
      </c>
      <c r="AG25" s="573"/>
    </row>
    <row r="26" spans="1:33" ht="15.75" customHeight="1">
      <c r="A26" s="597" t="s">
        <v>53</v>
      </c>
      <c r="B26" s="39" t="s">
        <v>46</v>
      </c>
      <c r="C26" s="576"/>
      <c r="D26" s="576"/>
      <c r="E26" s="196"/>
      <c r="F26" s="199"/>
      <c r="G26" s="188"/>
      <c r="H26" s="199"/>
      <c r="I26" s="32">
        <v>15.333333333333334</v>
      </c>
      <c r="J26" s="43">
        <v>1916.6666666666667</v>
      </c>
      <c r="K26" s="18">
        <f t="shared" si="1"/>
        <v>125</v>
      </c>
      <c r="L26" s="32">
        <v>15.333333333333334</v>
      </c>
      <c r="M26" s="19">
        <f>AVERAGE(M20:M25)</f>
        <v>1841.2929124654056</v>
      </c>
      <c r="N26" s="18">
        <f t="shared" si="3"/>
        <v>120.08432037817862</v>
      </c>
      <c r="O26" s="20">
        <f t="shared" si="4"/>
        <v>0</v>
      </c>
      <c r="P26" s="21">
        <f t="shared" si="5"/>
        <v>-4.9156796218213827</v>
      </c>
      <c r="Q26" s="191">
        <f t="shared" si="6"/>
        <v>0.96067456302542897</v>
      </c>
      <c r="R26" s="573"/>
      <c r="S26" s="49"/>
      <c r="T26" s="49"/>
      <c r="U26" s="18"/>
      <c r="V26" s="198"/>
      <c r="W26" s="18"/>
      <c r="X26" s="18"/>
      <c r="Y26" s="33">
        <f>SUM(Y20:Y25)</f>
        <v>0</v>
      </c>
      <c r="Z26" s="33">
        <f>SUM(Z20:Z25)</f>
        <v>0</v>
      </c>
      <c r="AA26" s="572"/>
      <c r="AB26" s="572"/>
      <c r="AC26" s="33">
        <v>6</v>
      </c>
      <c r="AD26" s="33">
        <f>SUM(AD20:AD25)</f>
        <v>0</v>
      </c>
      <c r="AE26" s="20">
        <f t="shared" si="8"/>
        <v>-75.373754201261136</v>
      </c>
      <c r="AF26" s="191">
        <f t="shared" si="9"/>
        <v>0.96067456302542897</v>
      </c>
      <c r="AG26" s="573"/>
    </row>
    <row r="27" spans="1:33" ht="15.75" customHeight="1">
      <c r="A27" s="595" t="s">
        <v>1026</v>
      </c>
      <c r="B27" s="39" t="s">
        <v>94</v>
      </c>
      <c r="C27" s="594" t="s">
        <v>95</v>
      </c>
      <c r="D27" s="594"/>
      <c r="E27" s="39">
        <v>31.29</v>
      </c>
      <c r="F27" s="199">
        <v>7000</v>
      </c>
      <c r="G27" s="188">
        <f t="shared" ref="G27:G35" si="23">E27*F27</f>
        <v>219030</v>
      </c>
      <c r="H27" s="48">
        <v>2</v>
      </c>
      <c r="I27" s="197">
        <v>18</v>
      </c>
      <c r="J27" s="43">
        <v>2400</v>
      </c>
      <c r="K27" s="18">
        <f t="shared" si="1"/>
        <v>133.33333333333334</v>
      </c>
      <c r="L27" s="197">
        <v>18</v>
      </c>
      <c r="M27" s="19">
        <f t="shared" ref="M27:M35" si="24">F27/V27*60</f>
        <v>2295.0819672131147</v>
      </c>
      <c r="N27" s="18">
        <f t="shared" si="3"/>
        <v>127.50455373406193</v>
      </c>
      <c r="O27" s="20">
        <f t="shared" si="4"/>
        <v>0</v>
      </c>
      <c r="P27" s="21">
        <f t="shared" si="5"/>
        <v>-5.8287795992714138</v>
      </c>
      <c r="Q27" s="191">
        <f t="shared" si="6"/>
        <v>0.95628415300546443</v>
      </c>
      <c r="R27" s="573">
        <f>Q36</f>
        <v>0.95600208407002785</v>
      </c>
      <c r="S27" s="49">
        <v>8.3333333333333329E-2</v>
      </c>
      <c r="T27" s="49">
        <v>0.21041666666666664</v>
      </c>
      <c r="U27" s="188"/>
      <c r="V27" s="198">
        <f t="shared" ref="V27:V35" si="25">(T27-S27)*24*60</f>
        <v>183</v>
      </c>
      <c r="W27" s="25">
        <f>T27</f>
        <v>0.21041666666666664</v>
      </c>
      <c r="X27" s="25">
        <f>S28</f>
        <v>0.23124999999999998</v>
      </c>
      <c r="Y27" s="25"/>
      <c r="Z27" s="25"/>
      <c r="AA27" s="575"/>
      <c r="AB27" s="575"/>
      <c r="AC27" s="50">
        <v>9</v>
      </c>
      <c r="AD27" s="27"/>
      <c r="AE27" s="20">
        <f t="shared" si="8"/>
        <v>-104.91803278688531</v>
      </c>
      <c r="AF27" s="191">
        <f t="shared" si="9"/>
        <v>0.95628415300546443</v>
      </c>
      <c r="AG27" s="573">
        <f>AF36</f>
        <v>0.95600208407002796</v>
      </c>
    </row>
    <row r="28" spans="1:33" ht="15.75" customHeight="1">
      <c r="A28" s="595" t="s">
        <v>1026</v>
      </c>
      <c r="B28" s="39" t="s">
        <v>94</v>
      </c>
      <c r="C28" s="594" t="s">
        <v>97</v>
      </c>
      <c r="D28" s="594"/>
      <c r="E28" s="39">
        <v>26.37</v>
      </c>
      <c r="F28" s="199">
        <v>4300</v>
      </c>
      <c r="G28" s="188">
        <f t="shared" si="23"/>
        <v>113391</v>
      </c>
      <c r="H28" s="48">
        <v>2</v>
      </c>
      <c r="I28" s="197">
        <v>19</v>
      </c>
      <c r="J28" s="43">
        <v>2400</v>
      </c>
      <c r="K28" s="18">
        <f t="shared" si="1"/>
        <v>126.31578947368421</v>
      </c>
      <c r="L28" s="197">
        <v>19</v>
      </c>
      <c r="M28" s="19">
        <f t="shared" si="24"/>
        <v>2283.1858407079635</v>
      </c>
      <c r="N28" s="18">
        <f t="shared" si="3"/>
        <v>120.16767582673492</v>
      </c>
      <c r="O28" s="20">
        <f t="shared" si="4"/>
        <v>0</v>
      </c>
      <c r="P28" s="21">
        <f t="shared" si="5"/>
        <v>-6.1481136469492839</v>
      </c>
      <c r="Q28" s="191">
        <f t="shared" si="6"/>
        <v>0.95132743362831818</v>
      </c>
      <c r="R28" s="573"/>
      <c r="S28" s="49">
        <v>0.23124999999999998</v>
      </c>
      <c r="T28" s="49">
        <v>0.30972222222222223</v>
      </c>
      <c r="U28" s="188">
        <f t="shared" ref="U28:U35" si="26">(S28-T27)*24*60</f>
        <v>30.000000000000014</v>
      </c>
      <c r="V28" s="198">
        <f t="shared" si="25"/>
        <v>113.00000000000004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-116.81415929203649</v>
      </c>
      <c r="AF28" s="191">
        <f t="shared" si="9"/>
        <v>0.95132743362831818</v>
      </c>
      <c r="AG28" s="573"/>
    </row>
    <row r="29" spans="1:33" ht="15.75" customHeight="1">
      <c r="A29" s="595" t="s">
        <v>56</v>
      </c>
      <c r="B29" s="39" t="s">
        <v>94</v>
      </c>
      <c r="C29" s="594" t="s">
        <v>98</v>
      </c>
      <c r="D29" s="594"/>
      <c r="E29" s="39">
        <v>25.99</v>
      </c>
      <c r="F29" s="199">
        <v>2900</v>
      </c>
      <c r="G29" s="188">
        <f t="shared" si="23"/>
        <v>75371</v>
      </c>
      <c r="H29" s="48">
        <v>2</v>
      </c>
      <c r="I29" s="197">
        <v>14</v>
      </c>
      <c r="J29" s="43">
        <v>2400</v>
      </c>
      <c r="K29" s="18">
        <f t="shared" si="1"/>
        <v>171.42857142857142</v>
      </c>
      <c r="L29" s="197">
        <v>14</v>
      </c>
      <c r="M29" s="19">
        <f t="shared" si="24"/>
        <v>2289.4736842105272</v>
      </c>
      <c r="N29" s="18">
        <f t="shared" si="3"/>
        <v>163.53383458646621</v>
      </c>
      <c r="O29" s="20">
        <f t="shared" si="4"/>
        <v>0</v>
      </c>
      <c r="P29" s="21">
        <f t="shared" si="5"/>
        <v>-7.8947368421052033</v>
      </c>
      <c r="Q29" s="191">
        <f t="shared" si="6"/>
        <v>0.95394736842105299</v>
      </c>
      <c r="R29" s="573"/>
      <c r="S29" s="49">
        <v>0.31388888888888888</v>
      </c>
      <c r="T29" s="49">
        <v>0.36666666666666664</v>
      </c>
      <c r="U29" s="188">
        <f t="shared" si="26"/>
        <v>5.9999999999999787</v>
      </c>
      <c r="V29" s="198">
        <f t="shared" si="25"/>
        <v>75.999999999999972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-110.52631578947285</v>
      </c>
      <c r="AF29" s="191">
        <f t="shared" si="9"/>
        <v>0.95394736842105299</v>
      </c>
      <c r="AG29" s="573"/>
    </row>
    <row r="30" spans="1:33" ht="15.75" customHeight="1">
      <c r="A30" s="595" t="s">
        <v>1026</v>
      </c>
      <c r="B30" s="39" t="s">
        <v>94</v>
      </c>
      <c r="C30" s="594" t="s">
        <v>103</v>
      </c>
      <c r="D30" s="594"/>
      <c r="E30" s="39">
        <v>20.2</v>
      </c>
      <c r="F30" s="199">
        <v>2448</v>
      </c>
      <c r="G30" s="188">
        <f t="shared" si="23"/>
        <v>49449.599999999999</v>
      </c>
      <c r="H30" s="48" t="s">
        <v>126</v>
      </c>
      <c r="I30" s="197">
        <v>15</v>
      </c>
      <c r="J30" s="43">
        <v>2400</v>
      </c>
      <c r="K30" s="18">
        <f t="shared" si="1"/>
        <v>160</v>
      </c>
      <c r="L30" s="197">
        <v>15</v>
      </c>
      <c r="M30" s="19">
        <f t="shared" si="24"/>
        <v>2294.9999999999995</v>
      </c>
      <c r="N30" s="18">
        <f t="shared" si="3"/>
        <v>152.99999999999997</v>
      </c>
      <c r="O30" s="20">
        <f t="shared" si="4"/>
        <v>0</v>
      </c>
      <c r="P30" s="21">
        <f t="shared" si="5"/>
        <v>-7.0000000000000284</v>
      </c>
      <c r="Q30" s="191">
        <f t="shared" si="6"/>
        <v>0.95624999999999982</v>
      </c>
      <c r="R30" s="573"/>
      <c r="S30" s="49">
        <v>0.37083333333333329</v>
      </c>
      <c r="T30" s="49">
        <v>0.41527777777777775</v>
      </c>
      <c r="U30" s="188">
        <f t="shared" si="26"/>
        <v>5.9999999999999787</v>
      </c>
      <c r="V30" s="198">
        <f t="shared" si="25"/>
        <v>64.000000000000014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-105.00000000000045</v>
      </c>
      <c r="AF30" s="191">
        <f t="shared" si="9"/>
        <v>0.95624999999999982</v>
      </c>
      <c r="AG30" s="573"/>
    </row>
    <row r="31" spans="1:33" ht="15.75" customHeight="1">
      <c r="A31" s="595" t="s">
        <v>1026</v>
      </c>
      <c r="B31" s="39" t="s">
        <v>94</v>
      </c>
      <c r="C31" s="594" t="s">
        <v>529</v>
      </c>
      <c r="D31" s="594"/>
      <c r="E31" s="39">
        <v>26.18</v>
      </c>
      <c r="F31" s="199">
        <v>4100</v>
      </c>
      <c r="G31" s="188">
        <f t="shared" si="23"/>
        <v>107338</v>
      </c>
      <c r="H31" s="48">
        <v>2</v>
      </c>
      <c r="I31" s="197">
        <v>19</v>
      </c>
      <c r="J31" s="43">
        <v>2400</v>
      </c>
      <c r="K31" s="18">
        <f t="shared" si="1"/>
        <v>126.31578947368421</v>
      </c>
      <c r="L31" s="197">
        <v>19</v>
      </c>
      <c r="M31" s="19">
        <f t="shared" si="24"/>
        <v>2299.0654205607475</v>
      </c>
      <c r="N31" s="18">
        <f t="shared" si="3"/>
        <v>121.00344318740777</v>
      </c>
      <c r="O31" s="20">
        <f t="shared" si="4"/>
        <v>0</v>
      </c>
      <c r="P31" s="21">
        <f t="shared" si="5"/>
        <v>-5.312346286276437</v>
      </c>
      <c r="Q31" s="191">
        <f t="shared" si="6"/>
        <v>0.95794392523364491</v>
      </c>
      <c r="R31" s="573"/>
      <c r="S31" s="49">
        <v>0.42013888888888884</v>
      </c>
      <c r="T31" s="49">
        <v>0.49444444444444441</v>
      </c>
      <c r="U31" s="188">
        <f t="shared" si="26"/>
        <v>6.9999999999999751</v>
      </c>
      <c r="V31" s="198">
        <f t="shared" si="25"/>
        <v>107.00000000000001</v>
      </c>
      <c r="W31" s="25">
        <f>T31</f>
        <v>0.49444444444444441</v>
      </c>
      <c r="X31" s="25">
        <f>S32</f>
        <v>0.53541666666666665</v>
      </c>
      <c r="Y31" s="25"/>
      <c r="Z31" s="25"/>
      <c r="AA31" s="575"/>
      <c r="AB31" s="575"/>
      <c r="AC31" s="50"/>
      <c r="AD31" s="27"/>
      <c r="AE31" s="20">
        <f t="shared" si="8"/>
        <v>-100.9345794392525</v>
      </c>
      <c r="AF31" s="191">
        <f t="shared" si="9"/>
        <v>0.9579439252336448</v>
      </c>
      <c r="AG31" s="573"/>
    </row>
    <row r="32" spans="1:33" ht="15.75" customHeight="1">
      <c r="A32" s="595" t="s">
        <v>56</v>
      </c>
      <c r="B32" s="39" t="s">
        <v>94</v>
      </c>
      <c r="C32" s="594" t="s">
        <v>95</v>
      </c>
      <c r="D32" s="594"/>
      <c r="E32" s="39">
        <v>31.29</v>
      </c>
      <c r="F32" s="199">
        <v>4707</v>
      </c>
      <c r="G32" s="188">
        <f t="shared" si="23"/>
        <v>147282.03</v>
      </c>
      <c r="H32" s="48" t="s">
        <v>126</v>
      </c>
      <c r="I32" s="197">
        <v>18</v>
      </c>
      <c r="J32" s="43">
        <v>2400</v>
      </c>
      <c r="K32" s="18">
        <f t="shared" si="1"/>
        <v>133.33333333333334</v>
      </c>
      <c r="L32" s="197">
        <v>18</v>
      </c>
      <c r="M32" s="19">
        <f t="shared" si="24"/>
        <v>2296.0975609756088</v>
      </c>
      <c r="N32" s="18">
        <f t="shared" si="3"/>
        <v>127.56097560975604</v>
      </c>
      <c r="O32" s="20">
        <f t="shared" si="4"/>
        <v>0</v>
      </c>
      <c r="P32" s="21">
        <f t="shared" si="5"/>
        <v>-5.7723577235773007</v>
      </c>
      <c r="Q32" s="191">
        <f t="shared" si="6"/>
        <v>0.95670731707317025</v>
      </c>
      <c r="R32" s="573"/>
      <c r="S32" s="49">
        <v>0.53541666666666665</v>
      </c>
      <c r="T32" s="49">
        <v>0.62083333333333335</v>
      </c>
      <c r="U32" s="188">
        <f t="shared" si="26"/>
        <v>59.000000000000028</v>
      </c>
      <c r="V32" s="198">
        <f t="shared" si="25"/>
        <v>123.00000000000004</v>
      </c>
      <c r="W32" s="25"/>
      <c r="X32" s="25"/>
      <c r="Y32" s="25"/>
      <c r="Z32" s="25"/>
      <c r="AA32" s="575"/>
      <c r="AB32" s="575"/>
      <c r="AC32" s="50"/>
      <c r="AD32" s="27"/>
      <c r="AE32" s="20">
        <f t="shared" si="8"/>
        <v>-103.90243902439124</v>
      </c>
      <c r="AF32" s="191">
        <f t="shared" si="9"/>
        <v>0.95670731707317036</v>
      </c>
      <c r="AG32" s="573"/>
    </row>
    <row r="33" spans="1:33" ht="15.75" customHeight="1">
      <c r="A33" s="595" t="s">
        <v>56</v>
      </c>
      <c r="B33" s="39" t="s">
        <v>94</v>
      </c>
      <c r="C33" s="594" t="s">
        <v>97</v>
      </c>
      <c r="D33" s="594"/>
      <c r="E33" s="39">
        <v>26.37</v>
      </c>
      <c r="F33" s="199">
        <v>3059</v>
      </c>
      <c r="G33" s="188">
        <f t="shared" si="23"/>
        <v>80665.83</v>
      </c>
      <c r="H33" s="48" t="s">
        <v>126</v>
      </c>
      <c r="I33" s="197">
        <v>19</v>
      </c>
      <c r="J33" s="43">
        <v>2400</v>
      </c>
      <c r="K33" s="18">
        <f t="shared" si="1"/>
        <v>126.31578947368421</v>
      </c>
      <c r="L33" s="197">
        <v>19</v>
      </c>
      <c r="M33" s="19">
        <f t="shared" si="24"/>
        <v>2294.2499999999991</v>
      </c>
      <c r="N33" s="18">
        <f t="shared" si="3"/>
        <v>120.74999999999996</v>
      </c>
      <c r="O33" s="20">
        <f t="shared" si="4"/>
        <v>0</v>
      </c>
      <c r="P33" s="21">
        <f t="shared" si="5"/>
        <v>-5.5657894736842479</v>
      </c>
      <c r="Q33" s="191">
        <f t="shared" si="6"/>
        <v>0.95593749999999966</v>
      </c>
      <c r="R33" s="573"/>
      <c r="S33" s="49">
        <v>0.62638888888888888</v>
      </c>
      <c r="T33" s="49">
        <v>0.68194444444444446</v>
      </c>
      <c r="U33" s="188">
        <f t="shared" si="26"/>
        <v>7.9999999999999716</v>
      </c>
      <c r="V33" s="198">
        <f t="shared" si="25"/>
        <v>80.000000000000028</v>
      </c>
      <c r="W33" s="25"/>
      <c r="X33" s="25"/>
      <c r="Y33" s="25"/>
      <c r="Z33" s="25"/>
      <c r="AA33" s="575"/>
      <c r="AB33" s="575"/>
      <c r="AC33" s="50"/>
      <c r="AD33" s="27"/>
      <c r="AE33" s="20">
        <f t="shared" si="8"/>
        <v>-105.75000000000091</v>
      </c>
      <c r="AF33" s="191">
        <f t="shared" si="9"/>
        <v>0.95593749999999966</v>
      </c>
      <c r="AG33" s="573"/>
    </row>
    <row r="34" spans="1:33" ht="15.75" customHeight="1">
      <c r="A34" s="595" t="s">
        <v>56</v>
      </c>
      <c r="B34" s="39" t="s">
        <v>94</v>
      </c>
      <c r="C34" s="201" t="s">
        <v>98</v>
      </c>
      <c r="D34" s="202"/>
      <c r="E34" s="39">
        <v>25.99</v>
      </c>
      <c r="F34" s="199">
        <v>2335</v>
      </c>
      <c r="G34" s="188">
        <f t="shared" si="23"/>
        <v>60686.649999999994</v>
      </c>
      <c r="H34" s="48" t="s">
        <v>126</v>
      </c>
      <c r="I34" s="197">
        <v>14</v>
      </c>
      <c r="J34" s="43">
        <v>2400</v>
      </c>
      <c r="K34" s="18">
        <f t="shared" si="1"/>
        <v>171.42857142857142</v>
      </c>
      <c r="L34" s="197">
        <v>14</v>
      </c>
      <c r="M34" s="19">
        <f t="shared" si="24"/>
        <v>2296.7213114754122</v>
      </c>
      <c r="N34" s="18">
        <f t="shared" si="3"/>
        <v>164.05152224824374</v>
      </c>
      <c r="O34" s="20">
        <f t="shared" si="4"/>
        <v>0</v>
      </c>
      <c r="P34" s="21">
        <f t="shared" si="5"/>
        <v>-7.3770491803276741</v>
      </c>
      <c r="Q34" s="191">
        <f t="shared" si="6"/>
        <v>0.95696721311475519</v>
      </c>
      <c r="R34" s="573"/>
      <c r="S34" s="49">
        <v>0.68680555555555556</v>
      </c>
      <c r="T34" s="49">
        <v>0.72916666666666663</v>
      </c>
      <c r="U34" s="188">
        <f t="shared" si="26"/>
        <v>6.9999999999999751</v>
      </c>
      <c r="V34" s="198">
        <f t="shared" si="25"/>
        <v>60.999999999999943</v>
      </c>
      <c r="W34" s="25"/>
      <c r="X34" s="25"/>
      <c r="Y34" s="25"/>
      <c r="Z34" s="25"/>
      <c r="AA34" s="194"/>
      <c r="AB34" s="195"/>
      <c r="AC34" s="50"/>
      <c r="AD34" s="27"/>
      <c r="AE34" s="20">
        <f t="shared" si="8"/>
        <v>-103.27868852458778</v>
      </c>
      <c r="AF34" s="191">
        <f t="shared" si="9"/>
        <v>0.95696721311475508</v>
      </c>
      <c r="AG34" s="573"/>
    </row>
    <row r="35" spans="1:33" ht="15.75" customHeight="1">
      <c r="A35" s="595" t="s">
        <v>56</v>
      </c>
      <c r="B35" s="39" t="s">
        <v>94</v>
      </c>
      <c r="C35" s="630" t="s">
        <v>529</v>
      </c>
      <c r="D35" s="631"/>
      <c r="E35" s="39">
        <v>26.18</v>
      </c>
      <c r="F35" s="199">
        <v>2991</v>
      </c>
      <c r="G35" s="188">
        <f t="shared" si="23"/>
        <v>78304.38</v>
      </c>
      <c r="H35" s="48" t="s">
        <v>126</v>
      </c>
      <c r="I35" s="197">
        <v>19</v>
      </c>
      <c r="J35" s="43">
        <v>2400</v>
      </c>
      <c r="K35" s="18">
        <f t="shared" si="1"/>
        <v>126.31578947368421</v>
      </c>
      <c r="L35" s="197">
        <v>19</v>
      </c>
      <c r="M35" s="19">
        <f t="shared" si="24"/>
        <v>2300.7692307692296</v>
      </c>
      <c r="N35" s="18">
        <f t="shared" si="3"/>
        <v>121.09311740890682</v>
      </c>
      <c r="O35" s="20">
        <f t="shared" si="4"/>
        <v>0</v>
      </c>
      <c r="P35" s="21">
        <f t="shared" si="5"/>
        <v>-5.2226720647773845</v>
      </c>
      <c r="Q35" s="191">
        <f t="shared" si="6"/>
        <v>0.95865384615384575</v>
      </c>
      <c r="R35" s="573"/>
      <c r="S35" s="49">
        <v>0.73402777777777772</v>
      </c>
      <c r="T35" s="49">
        <v>0.78819444444444442</v>
      </c>
      <c r="U35" s="188">
        <f t="shared" si="26"/>
        <v>6.9999999999999751</v>
      </c>
      <c r="V35" s="198">
        <f t="shared" si="25"/>
        <v>78.000000000000043</v>
      </c>
      <c r="W35" s="25"/>
      <c r="X35" s="25"/>
      <c r="Y35" s="28"/>
      <c r="Z35" s="28"/>
      <c r="AA35" s="194"/>
      <c r="AB35" s="195"/>
      <c r="AC35" s="50"/>
      <c r="AD35" s="27"/>
      <c r="AE35" s="20">
        <f t="shared" si="8"/>
        <v>-99.23076923077042</v>
      </c>
      <c r="AF35" s="191">
        <f t="shared" si="9"/>
        <v>0.95865384615384563</v>
      </c>
      <c r="AG35" s="573"/>
    </row>
    <row r="36" spans="1:33" ht="15.75" customHeight="1">
      <c r="A36" s="595" t="s">
        <v>1026</v>
      </c>
      <c r="B36" s="39" t="s">
        <v>46</v>
      </c>
      <c r="C36" s="576"/>
      <c r="D36" s="576"/>
      <c r="E36" s="196"/>
      <c r="F36" s="199"/>
      <c r="G36" s="188"/>
      <c r="H36" s="199"/>
      <c r="I36" s="32">
        <v>17.222222222222221</v>
      </c>
      <c r="J36" s="43">
        <v>2400</v>
      </c>
      <c r="K36" s="18">
        <f t="shared" si="1"/>
        <v>139.35483870967744</v>
      </c>
      <c r="L36" s="32">
        <v>17.222222222222221</v>
      </c>
      <c r="M36" s="19">
        <f>AVERAGE(M27:M35)</f>
        <v>2294.405001768067</v>
      </c>
      <c r="N36" s="18">
        <f t="shared" si="3"/>
        <v>133.22351623169422</v>
      </c>
      <c r="O36" s="20">
        <f t="shared" si="4"/>
        <v>0</v>
      </c>
      <c r="P36" s="21">
        <f t="shared" si="5"/>
        <v>-6.1313224779832183</v>
      </c>
      <c r="Q36" s="191">
        <f t="shared" si="6"/>
        <v>0.95600208407002785</v>
      </c>
      <c r="R36" s="573"/>
      <c r="S36" s="49"/>
      <c r="T36" s="49"/>
      <c r="U36" s="188"/>
      <c r="V36" s="198"/>
      <c r="W36" s="188"/>
      <c r="X36" s="188"/>
      <c r="Y36" s="33">
        <f>SUM(Y27:Y35)</f>
        <v>0</v>
      </c>
      <c r="Z36" s="33">
        <f>SUM(Z27:Z35)</f>
        <v>0</v>
      </c>
      <c r="AA36" s="572"/>
      <c r="AB36" s="572"/>
      <c r="AC36" s="33">
        <v>9</v>
      </c>
      <c r="AD36" s="33">
        <f>SUM(AD27:AD35)</f>
        <v>0</v>
      </c>
      <c r="AE36" s="20">
        <f t="shared" si="8"/>
        <v>-105.594998231933</v>
      </c>
      <c r="AF36" s="191">
        <f t="shared" si="9"/>
        <v>0.95600208407002796</v>
      </c>
      <c r="AG36" s="573"/>
    </row>
    <row r="37" spans="1:33" ht="15.75" customHeight="1">
      <c r="A37" s="592" t="s">
        <v>59</v>
      </c>
      <c r="B37" s="39" t="s">
        <v>94</v>
      </c>
      <c r="C37" s="574" t="s">
        <v>530</v>
      </c>
      <c r="D37" s="574"/>
      <c r="E37" s="39">
        <v>26.18</v>
      </c>
      <c r="F37" s="199">
        <v>3000</v>
      </c>
      <c r="G37" s="188">
        <f t="shared" ref="G37:G44" si="27">E37*F37</f>
        <v>78540</v>
      </c>
      <c r="H37" s="48">
        <v>2</v>
      </c>
      <c r="I37" s="197">
        <v>21</v>
      </c>
      <c r="J37" s="43">
        <v>2400</v>
      </c>
      <c r="K37" s="18">
        <f t="shared" si="1"/>
        <v>114.28571428571429</v>
      </c>
      <c r="L37" s="197">
        <v>21</v>
      </c>
      <c r="M37" s="19">
        <f t="shared" ref="M37:M44" si="28">F37/V37*60</f>
        <v>2307.6923076923072</v>
      </c>
      <c r="N37" s="18">
        <f t="shared" si="3"/>
        <v>109.89010989010987</v>
      </c>
      <c r="O37" s="20">
        <f t="shared" si="4"/>
        <v>0</v>
      </c>
      <c r="P37" s="21">
        <f t="shared" si="5"/>
        <v>-4.3956043956044226</v>
      </c>
      <c r="Q37" s="191">
        <f t="shared" si="6"/>
        <v>0.96153846153846134</v>
      </c>
      <c r="R37" s="573">
        <f>Q45</f>
        <v>0.95710645356828472</v>
      </c>
      <c r="S37" s="49">
        <v>8.3333333333333329E-2</v>
      </c>
      <c r="T37" s="49">
        <v>0.13750000000000001</v>
      </c>
      <c r="U37" s="188"/>
      <c r="V37" s="198">
        <f t="shared" ref="V37:V44" si="29">(T37-S37)*24*60</f>
        <v>78.000000000000014</v>
      </c>
      <c r="W37" s="30">
        <f>T37</f>
        <v>0.13750000000000001</v>
      </c>
      <c r="X37" s="30">
        <f>S38</f>
        <v>0.15625000000000003</v>
      </c>
      <c r="Y37" s="30"/>
      <c r="Z37" s="30"/>
      <c r="AA37" s="575"/>
      <c r="AB37" s="575"/>
      <c r="AC37" s="50">
        <v>8</v>
      </c>
      <c r="AD37" s="27"/>
      <c r="AE37" s="20">
        <f t="shared" si="8"/>
        <v>-92.307692307692832</v>
      </c>
      <c r="AF37" s="191">
        <f t="shared" si="9"/>
        <v>0.96153846153846134</v>
      </c>
      <c r="AG37" s="573">
        <f>AF45</f>
        <v>0.95710645356828472</v>
      </c>
    </row>
    <row r="38" spans="1:33" ht="15.75" customHeight="1">
      <c r="A38" s="592" t="s">
        <v>1027</v>
      </c>
      <c r="B38" s="39" t="s">
        <v>94</v>
      </c>
      <c r="C38" s="574" t="s">
        <v>100</v>
      </c>
      <c r="D38" s="574"/>
      <c r="E38" s="39">
        <v>24.43</v>
      </c>
      <c r="F38" s="199">
        <v>4400</v>
      </c>
      <c r="G38" s="188">
        <f t="shared" si="27"/>
        <v>107492</v>
      </c>
      <c r="H38" s="48">
        <v>2</v>
      </c>
      <c r="I38" s="197">
        <v>14</v>
      </c>
      <c r="J38" s="43">
        <v>2400</v>
      </c>
      <c r="K38" s="18">
        <f t="shared" si="1"/>
        <v>171.42857142857142</v>
      </c>
      <c r="L38" s="197">
        <v>14</v>
      </c>
      <c r="M38" s="19">
        <f t="shared" si="28"/>
        <v>2295.652173913043</v>
      </c>
      <c r="N38" s="18">
        <f t="shared" si="3"/>
        <v>163.97515527950307</v>
      </c>
      <c r="O38" s="20">
        <f t="shared" si="4"/>
        <v>0</v>
      </c>
      <c r="P38" s="21">
        <f t="shared" si="5"/>
        <v>-7.4534161490683459</v>
      </c>
      <c r="Q38" s="191">
        <f t="shared" si="6"/>
        <v>0.9565217391304347</v>
      </c>
      <c r="R38" s="573"/>
      <c r="S38" s="49">
        <v>0.15625000000000003</v>
      </c>
      <c r="T38" s="49">
        <v>0.23611111111111116</v>
      </c>
      <c r="U38" s="188">
        <f t="shared" ref="U38:U44" si="30">(S38-T37)*24*60</f>
        <v>27.000000000000025</v>
      </c>
      <c r="V38" s="198">
        <f t="shared" si="29"/>
        <v>115.00000000000003</v>
      </c>
      <c r="W38" s="188"/>
      <c r="X38" s="188"/>
      <c r="Y38" s="188"/>
      <c r="Z38" s="188"/>
      <c r="AA38" s="575"/>
      <c r="AB38" s="575"/>
      <c r="AC38" s="50"/>
      <c r="AD38" s="27"/>
      <c r="AE38" s="20">
        <f t="shared" si="8"/>
        <v>-104.34782608695696</v>
      </c>
      <c r="AF38" s="191">
        <f t="shared" si="9"/>
        <v>0.95652173913043459</v>
      </c>
      <c r="AG38" s="573"/>
    </row>
    <row r="39" spans="1:33">
      <c r="A39" s="593" t="s">
        <v>59</v>
      </c>
      <c r="B39" s="39" t="s">
        <v>94</v>
      </c>
      <c r="C39" s="574" t="s">
        <v>102</v>
      </c>
      <c r="D39" s="574"/>
      <c r="E39" s="39">
        <v>34.1</v>
      </c>
      <c r="F39" s="199">
        <v>4300</v>
      </c>
      <c r="G39" s="188">
        <f t="shared" si="27"/>
        <v>146630</v>
      </c>
      <c r="H39" s="48">
        <v>2</v>
      </c>
      <c r="I39" s="197">
        <v>18</v>
      </c>
      <c r="J39" s="43">
        <v>1600</v>
      </c>
      <c r="K39" s="18">
        <f t="shared" si="1"/>
        <v>88.888888888888886</v>
      </c>
      <c r="L39" s="197">
        <v>18</v>
      </c>
      <c r="M39" s="19">
        <f t="shared" si="28"/>
        <v>1526.6272189349113</v>
      </c>
      <c r="N39" s="18">
        <f t="shared" si="3"/>
        <v>84.812623274161737</v>
      </c>
      <c r="O39" s="20">
        <f t="shared" si="4"/>
        <v>0</v>
      </c>
      <c r="P39" s="21">
        <f t="shared" si="5"/>
        <v>-4.0762656147271485</v>
      </c>
      <c r="Q39" s="191">
        <f t="shared" si="6"/>
        <v>0.95414201183431957</v>
      </c>
      <c r="R39" s="573"/>
      <c r="S39" s="49">
        <v>0.24166666666666672</v>
      </c>
      <c r="T39" s="49">
        <v>0.35902777777777783</v>
      </c>
      <c r="U39" s="188">
        <f t="shared" si="30"/>
        <v>8.0000000000000107</v>
      </c>
      <c r="V39" s="198">
        <f t="shared" si="29"/>
        <v>169</v>
      </c>
      <c r="W39" s="188"/>
      <c r="X39" s="188"/>
      <c r="Y39" s="188"/>
      <c r="Z39" s="188"/>
      <c r="AA39" s="575"/>
      <c r="AB39" s="575"/>
      <c r="AC39" s="50"/>
      <c r="AD39" s="27"/>
      <c r="AE39" s="20">
        <f t="shared" si="8"/>
        <v>-73.372781065088702</v>
      </c>
      <c r="AF39" s="191">
        <f t="shared" si="9"/>
        <v>0.95414201183431957</v>
      </c>
      <c r="AG39" s="573"/>
    </row>
    <row r="40" spans="1:33">
      <c r="A40" s="593" t="s">
        <v>59</v>
      </c>
      <c r="B40" s="39" t="s">
        <v>94</v>
      </c>
      <c r="C40" s="574" t="s">
        <v>122</v>
      </c>
      <c r="D40" s="574"/>
      <c r="E40" s="39">
        <v>20.52</v>
      </c>
      <c r="F40" s="199">
        <v>3276</v>
      </c>
      <c r="G40" s="188">
        <f t="shared" si="27"/>
        <v>67223.520000000004</v>
      </c>
      <c r="H40" s="48" t="s">
        <v>126</v>
      </c>
      <c r="I40" s="197">
        <v>18</v>
      </c>
      <c r="J40" s="43">
        <v>2400</v>
      </c>
      <c r="K40" s="18">
        <f t="shared" si="1"/>
        <v>133.33333333333334</v>
      </c>
      <c r="L40" s="197">
        <v>18</v>
      </c>
      <c r="M40" s="19">
        <f t="shared" si="28"/>
        <v>2285.5813953488368</v>
      </c>
      <c r="N40" s="18">
        <f t="shared" si="3"/>
        <v>126.97674418604649</v>
      </c>
      <c r="O40" s="20">
        <f t="shared" si="4"/>
        <v>0</v>
      </c>
      <c r="P40" s="21">
        <f t="shared" si="5"/>
        <v>-6.3565891472868543</v>
      </c>
      <c r="Q40" s="191">
        <f t="shared" si="6"/>
        <v>0.95232558139534862</v>
      </c>
      <c r="R40" s="573"/>
      <c r="S40" s="49">
        <v>0.36388888888888893</v>
      </c>
      <c r="T40" s="49">
        <v>0.42361111111111116</v>
      </c>
      <c r="U40" s="188">
        <f t="shared" si="30"/>
        <v>6.9999999999999751</v>
      </c>
      <c r="V40" s="198">
        <f t="shared" si="29"/>
        <v>86.000000000000014</v>
      </c>
      <c r="W40" s="25"/>
      <c r="X40" s="25"/>
      <c r="Y40" s="25"/>
      <c r="Z40" s="25"/>
      <c r="AA40" s="575"/>
      <c r="AB40" s="575"/>
      <c r="AC40" s="50"/>
      <c r="AD40" s="27"/>
      <c r="AE40" s="20">
        <f t="shared" si="8"/>
        <v>-114.41860465116315</v>
      </c>
      <c r="AF40" s="191">
        <f t="shared" si="9"/>
        <v>0.95232558139534873</v>
      </c>
      <c r="AG40" s="573"/>
    </row>
    <row r="41" spans="1:33">
      <c r="A41" s="593" t="s">
        <v>59</v>
      </c>
      <c r="B41" s="39" t="s">
        <v>94</v>
      </c>
      <c r="C41" s="574" t="s">
        <v>101</v>
      </c>
      <c r="D41" s="574"/>
      <c r="E41" s="39">
        <v>25.98</v>
      </c>
      <c r="F41" s="199">
        <v>3596</v>
      </c>
      <c r="G41" s="188">
        <f t="shared" si="27"/>
        <v>93424.08</v>
      </c>
      <c r="H41" s="48" t="s">
        <v>126</v>
      </c>
      <c r="I41" s="197">
        <v>19</v>
      </c>
      <c r="J41" s="43">
        <v>2400</v>
      </c>
      <c r="K41" s="18">
        <f t="shared" si="1"/>
        <v>126.31578947368421</v>
      </c>
      <c r="L41" s="197">
        <v>19</v>
      </c>
      <c r="M41" s="19">
        <f t="shared" si="28"/>
        <v>2295.3191489361702</v>
      </c>
      <c r="N41" s="18">
        <f t="shared" si="3"/>
        <v>120.80627099664054</v>
      </c>
      <c r="O41" s="20">
        <f t="shared" si="4"/>
        <v>0</v>
      </c>
      <c r="P41" s="21">
        <f t="shared" si="5"/>
        <v>-5.5095184770436703</v>
      </c>
      <c r="Q41" s="191">
        <f t="shared" si="6"/>
        <v>0.95638297872340428</v>
      </c>
      <c r="R41" s="573"/>
      <c r="S41" s="49">
        <v>0.4291666666666667</v>
      </c>
      <c r="T41" s="49">
        <v>0.49444444444444446</v>
      </c>
      <c r="U41" s="188">
        <f t="shared" si="30"/>
        <v>7.9999999999999716</v>
      </c>
      <c r="V41" s="198">
        <f t="shared" si="29"/>
        <v>93.999999999999986</v>
      </c>
      <c r="W41" s="25">
        <f>T41</f>
        <v>0.49444444444444446</v>
      </c>
      <c r="X41" s="25">
        <f>S42</f>
        <v>0.53333333333333333</v>
      </c>
      <c r="Y41" s="25"/>
      <c r="Z41" s="25"/>
      <c r="AA41" s="575"/>
      <c r="AB41" s="575"/>
      <c r="AC41" s="50"/>
      <c r="AD41" s="27"/>
      <c r="AE41" s="20">
        <f t="shared" si="8"/>
        <v>-104.68085106382978</v>
      </c>
      <c r="AF41" s="191">
        <f t="shared" si="9"/>
        <v>0.95638297872340428</v>
      </c>
      <c r="AG41" s="573"/>
    </row>
    <row r="42" spans="1:33">
      <c r="A42" s="593" t="s">
        <v>59</v>
      </c>
      <c r="B42" s="39" t="s">
        <v>94</v>
      </c>
      <c r="C42" s="574" t="s">
        <v>100</v>
      </c>
      <c r="D42" s="574"/>
      <c r="E42" s="39">
        <v>24.43</v>
      </c>
      <c r="F42" s="199">
        <v>3357</v>
      </c>
      <c r="G42" s="188">
        <f t="shared" si="27"/>
        <v>82011.509999999995</v>
      </c>
      <c r="H42" s="48" t="s">
        <v>126</v>
      </c>
      <c r="I42" s="197">
        <v>14</v>
      </c>
      <c r="J42" s="43">
        <v>2400</v>
      </c>
      <c r="K42" s="18">
        <f t="shared" si="1"/>
        <v>171.42857142857142</v>
      </c>
      <c r="L42" s="197">
        <v>14</v>
      </c>
      <c r="M42" s="19">
        <f t="shared" si="28"/>
        <v>2288.8636363636365</v>
      </c>
      <c r="N42" s="18">
        <f t="shared" si="3"/>
        <v>163.49025974025975</v>
      </c>
      <c r="O42" s="20">
        <f t="shared" si="4"/>
        <v>0</v>
      </c>
      <c r="P42" s="21">
        <f t="shared" si="5"/>
        <v>-7.9383116883116713</v>
      </c>
      <c r="Q42" s="191">
        <f t="shared" si="6"/>
        <v>0.95369318181818197</v>
      </c>
      <c r="R42" s="573"/>
      <c r="S42" s="49">
        <v>0.53333333333333333</v>
      </c>
      <c r="T42" s="49">
        <v>0.59444444444444444</v>
      </c>
      <c r="U42" s="188">
        <f t="shared" si="30"/>
        <v>55.999999999999957</v>
      </c>
      <c r="V42" s="198">
        <f t="shared" si="29"/>
        <v>88</v>
      </c>
      <c r="W42" s="25"/>
      <c r="X42" s="25"/>
      <c r="Y42" s="25"/>
      <c r="Z42" s="25"/>
      <c r="AA42" s="575"/>
      <c r="AB42" s="575"/>
      <c r="AC42" s="50"/>
      <c r="AD42" s="27"/>
      <c r="AE42" s="20">
        <f t="shared" si="8"/>
        <v>-111.13636363636351</v>
      </c>
      <c r="AF42" s="191">
        <f t="shared" si="9"/>
        <v>0.95369318181818186</v>
      </c>
      <c r="AG42" s="573"/>
    </row>
    <row r="43" spans="1:33">
      <c r="A43" s="593" t="s">
        <v>1027</v>
      </c>
      <c r="B43" s="39" t="s">
        <v>94</v>
      </c>
      <c r="C43" s="574" t="s">
        <v>102</v>
      </c>
      <c r="D43" s="574"/>
      <c r="E43" s="39">
        <v>34.1</v>
      </c>
      <c r="F43" s="199">
        <v>3263</v>
      </c>
      <c r="G43" s="188">
        <f t="shared" si="27"/>
        <v>111268.3</v>
      </c>
      <c r="H43" s="48" t="s">
        <v>126</v>
      </c>
      <c r="I43" s="197">
        <v>18</v>
      </c>
      <c r="J43" s="43">
        <v>1600</v>
      </c>
      <c r="K43" s="18">
        <f t="shared" si="1"/>
        <v>88.888888888888886</v>
      </c>
      <c r="L43" s="197">
        <v>18</v>
      </c>
      <c r="M43" s="19">
        <f t="shared" si="28"/>
        <v>1529.5312499999995</v>
      </c>
      <c r="N43" s="18">
        <f t="shared" si="3"/>
        <v>84.973958333333314</v>
      </c>
      <c r="O43" s="20">
        <f t="shared" si="4"/>
        <v>0</v>
      </c>
      <c r="P43" s="21">
        <f t="shared" si="5"/>
        <v>-3.9149305555555713</v>
      </c>
      <c r="Q43" s="191">
        <f t="shared" si="6"/>
        <v>0.95595703124999987</v>
      </c>
      <c r="R43" s="573"/>
      <c r="S43" s="49">
        <v>0.59861111111111109</v>
      </c>
      <c r="T43" s="49">
        <v>0.6875</v>
      </c>
      <c r="U43" s="188">
        <f t="shared" si="30"/>
        <v>5.9999999999999787</v>
      </c>
      <c r="V43" s="198">
        <f t="shared" si="29"/>
        <v>128.00000000000003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-70.468750000000455</v>
      </c>
      <c r="AF43" s="191">
        <f t="shared" si="9"/>
        <v>0.95595703124999976</v>
      </c>
      <c r="AG43" s="573"/>
    </row>
    <row r="44" spans="1:33">
      <c r="A44" s="593" t="s">
        <v>59</v>
      </c>
      <c r="B44" s="39" t="s">
        <v>94</v>
      </c>
      <c r="C44" s="574" t="s">
        <v>530</v>
      </c>
      <c r="D44" s="574"/>
      <c r="E44" s="39">
        <v>26.18</v>
      </c>
      <c r="F44" s="199">
        <v>2393</v>
      </c>
      <c r="G44" s="188">
        <f t="shared" si="27"/>
        <v>62648.74</v>
      </c>
      <c r="H44" s="48" t="s">
        <v>126</v>
      </c>
      <c r="I44" s="197">
        <v>21</v>
      </c>
      <c r="J44" s="43">
        <v>2400</v>
      </c>
      <c r="K44" s="18">
        <f t="shared" si="1"/>
        <v>114.28571428571429</v>
      </c>
      <c r="L44" s="197">
        <v>21</v>
      </c>
      <c r="M44" s="19">
        <f t="shared" si="28"/>
        <v>2315.8064516129052</v>
      </c>
      <c r="N44" s="18">
        <f t="shared" si="3"/>
        <v>110.27649769585263</v>
      </c>
      <c r="O44" s="20">
        <f t="shared" si="4"/>
        <v>0</v>
      </c>
      <c r="P44" s="21">
        <f t="shared" si="5"/>
        <v>-4.0092165898616656</v>
      </c>
      <c r="Q44" s="191">
        <f t="shared" si="6"/>
        <v>0.96491935483871039</v>
      </c>
      <c r="R44" s="573"/>
      <c r="S44" s="49">
        <v>0.69166666666666665</v>
      </c>
      <c r="T44" s="49">
        <v>0.73472222222222217</v>
      </c>
      <c r="U44" s="188">
        <f t="shared" si="30"/>
        <v>5.9999999999999787</v>
      </c>
      <c r="V44" s="198">
        <f t="shared" si="29"/>
        <v>61.999999999999943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-84.193548387094779</v>
      </c>
      <c r="AF44" s="191">
        <f t="shared" si="9"/>
        <v>0.9649193548387105</v>
      </c>
      <c r="AG44" s="573"/>
    </row>
    <row r="45" spans="1:33">
      <c r="A45" s="593" t="s">
        <v>1027</v>
      </c>
      <c r="B45" s="42" t="s">
        <v>1028</v>
      </c>
      <c r="C45" s="576"/>
      <c r="D45" s="576"/>
      <c r="E45" s="196"/>
      <c r="F45" s="42"/>
      <c r="G45" s="18"/>
      <c r="H45" s="199"/>
      <c r="I45" s="32">
        <v>17.875</v>
      </c>
      <c r="J45" s="43">
        <v>2200</v>
      </c>
      <c r="K45" s="18">
        <f t="shared" si="1"/>
        <v>123.07692307692308</v>
      </c>
      <c r="L45" s="32">
        <v>17.875</v>
      </c>
      <c r="M45" s="19">
        <f>AVERAGE(M37:M44)</f>
        <v>2105.6341978502264</v>
      </c>
      <c r="N45" s="18">
        <f t="shared" si="3"/>
        <v>117.79771736225042</v>
      </c>
      <c r="O45" s="20">
        <f t="shared" si="4"/>
        <v>0</v>
      </c>
      <c r="P45" s="21">
        <f t="shared" si="5"/>
        <v>-5.2792057146726563</v>
      </c>
      <c r="Q45" s="191">
        <f t="shared" si="6"/>
        <v>0.95710645356828472</v>
      </c>
      <c r="R45" s="573"/>
      <c r="S45" s="49"/>
      <c r="T45" s="49"/>
      <c r="U45" s="18"/>
      <c r="V45" s="198"/>
      <c r="W45" s="18"/>
      <c r="X45" s="18"/>
      <c r="Y45" s="33">
        <f>SUM(Y37:Y44)</f>
        <v>0</v>
      </c>
      <c r="Z45" s="33">
        <f>SUM(Z37:Z44)</f>
        <v>0</v>
      </c>
      <c r="AA45" s="572"/>
      <c r="AB45" s="572"/>
      <c r="AC45" s="33">
        <v>8</v>
      </c>
      <c r="AD45" s="33">
        <f>SUM(AD37:AD44)</f>
        <v>0</v>
      </c>
      <c r="AE45" s="20">
        <f t="shared" si="8"/>
        <v>-94.365802149773572</v>
      </c>
      <c r="AF45" s="191">
        <f t="shared" si="9"/>
        <v>0.95710645356828472</v>
      </c>
      <c r="AG45" s="573"/>
    </row>
    <row r="46" spans="1:33" ht="15.75" customHeight="1">
      <c r="A46" s="589" t="s">
        <v>1029</v>
      </c>
      <c r="B46" s="39" t="s">
        <v>104</v>
      </c>
      <c r="C46" s="566" t="s">
        <v>105</v>
      </c>
      <c r="D46" s="567"/>
      <c r="E46" s="39">
        <v>37.880000000000003</v>
      </c>
      <c r="F46" s="199">
        <v>3417</v>
      </c>
      <c r="G46" s="188">
        <f t="shared" ref="G46:G49" si="31">E46*F46</f>
        <v>129435.96</v>
      </c>
      <c r="H46" s="48" t="s">
        <v>126</v>
      </c>
      <c r="I46" s="197">
        <v>13</v>
      </c>
      <c r="J46" s="43">
        <v>2000</v>
      </c>
      <c r="K46" s="18">
        <f t="shared" si="1"/>
        <v>153.84615384615384</v>
      </c>
      <c r="L46" s="197">
        <v>13</v>
      </c>
      <c r="M46" s="19">
        <f t="shared" ref="M46:M49" si="32">F46/V46*60</f>
        <v>1916.0747663551401</v>
      </c>
      <c r="N46" s="19">
        <f t="shared" si="3"/>
        <v>147.3903666427031</v>
      </c>
      <c r="O46" s="20">
        <f t="shared" si="4"/>
        <v>0</v>
      </c>
      <c r="P46" s="21">
        <f t="shared" si="5"/>
        <v>-6.4557872034507398</v>
      </c>
      <c r="Q46" s="191">
        <f t="shared" si="6"/>
        <v>0.95803738317757015</v>
      </c>
      <c r="R46" s="584">
        <f>Q50</f>
        <v>0.95533091220398592</v>
      </c>
      <c r="S46" s="49">
        <v>8.3333333333333329E-2</v>
      </c>
      <c r="T46" s="49">
        <v>0.15763888888888888</v>
      </c>
      <c r="U46" s="30"/>
      <c r="V46" s="198">
        <f t="shared" ref="V46:V49" si="33">(T46-S46)*24*60</f>
        <v>107</v>
      </c>
      <c r="W46" s="25">
        <f>T46</f>
        <v>0.15763888888888888</v>
      </c>
      <c r="X46" s="25">
        <f>S47</f>
        <v>0.17499999999999996</v>
      </c>
      <c r="Y46" s="28"/>
      <c r="Z46" s="28"/>
      <c r="AA46" s="568"/>
      <c r="AB46" s="569"/>
      <c r="AC46" s="50">
        <v>4</v>
      </c>
      <c r="AD46" s="27"/>
      <c r="AE46" s="20">
        <f t="shared" si="8"/>
        <v>-83.925233644859873</v>
      </c>
      <c r="AF46" s="191">
        <f t="shared" si="9"/>
        <v>0.95803738317757003</v>
      </c>
      <c r="AG46" s="584">
        <f>AF50</f>
        <v>0.95533091220398592</v>
      </c>
    </row>
    <row r="47" spans="1:33" ht="15.75" customHeight="1">
      <c r="A47" s="590" t="s">
        <v>61</v>
      </c>
      <c r="B47" s="39" t="s">
        <v>104</v>
      </c>
      <c r="C47" s="566" t="s">
        <v>106</v>
      </c>
      <c r="D47" s="567"/>
      <c r="E47" s="39">
        <v>35.119999999999997</v>
      </c>
      <c r="F47" s="199">
        <v>5995</v>
      </c>
      <c r="G47" s="188">
        <f t="shared" si="31"/>
        <v>210544.4</v>
      </c>
      <c r="H47" s="48" t="s">
        <v>126</v>
      </c>
      <c r="I47" s="197">
        <v>10</v>
      </c>
      <c r="J47" s="43">
        <v>3000</v>
      </c>
      <c r="K47" s="18">
        <f t="shared" si="1"/>
        <v>300</v>
      </c>
      <c r="L47" s="197">
        <v>10</v>
      </c>
      <c r="M47" s="19">
        <f t="shared" si="32"/>
        <v>2854.7619047619055</v>
      </c>
      <c r="N47" s="19">
        <f t="shared" si="3"/>
        <v>285.47619047619054</v>
      </c>
      <c r="O47" s="20">
        <f t="shared" si="4"/>
        <v>0</v>
      </c>
      <c r="P47" s="21">
        <f t="shared" si="5"/>
        <v>-14.523809523809462</v>
      </c>
      <c r="Q47" s="191">
        <f t="shared" si="6"/>
        <v>0.95158730158730176</v>
      </c>
      <c r="R47" s="585"/>
      <c r="S47" s="49">
        <v>0.17499999999999996</v>
      </c>
      <c r="T47" s="49">
        <v>0.26249999999999996</v>
      </c>
      <c r="U47" s="188">
        <f t="shared" ref="U47:U49" si="34">(S47-T46)*24*60</f>
        <v>24.99999999999995</v>
      </c>
      <c r="V47" s="198">
        <f t="shared" si="33"/>
        <v>125.99999999999997</v>
      </c>
      <c r="W47" s="25"/>
      <c r="X47" s="25"/>
      <c r="Y47" s="28"/>
      <c r="Z47" s="28"/>
      <c r="AA47" s="568"/>
      <c r="AB47" s="569"/>
      <c r="AC47" s="50"/>
      <c r="AD47" s="27"/>
      <c r="AE47" s="20">
        <f t="shared" si="8"/>
        <v>-145.2380952380945</v>
      </c>
      <c r="AF47" s="191">
        <f t="shared" si="9"/>
        <v>0.95158730158730187</v>
      </c>
      <c r="AG47" s="585"/>
    </row>
    <row r="48" spans="1:33" ht="15.75" customHeight="1">
      <c r="A48" s="590" t="s">
        <v>1029</v>
      </c>
      <c r="B48" s="39" t="s">
        <v>104</v>
      </c>
      <c r="C48" s="566" t="s">
        <v>107</v>
      </c>
      <c r="D48" s="567"/>
      <c r="E48" s="39">
        <v>21.13</v>
      </c>
      <c r="F48" s="199">
        <v>5886</v>
      </c>
      <c r="G48" s="188">
        <f t="shared" si="31"/>
        <v>124371.18</v>
      </c>
      <c r="H48" s="48" t="s">
        <v>126</v>
      </c>
      <c r="I48" s="197">
        <v>10</v>
      </c>
      <c r="J48" s="43">
        <v>3000</v>
      </c>
      <c r="K48" s="18">
        <f t="shared" si="1"/>
        <v>300</v>
      </c>
      <c r="L48" s="197">
        <v>10</v>
      </c>
      <c r="M48" s="19">
        <f t="shared" si="32"/>
        <v>2871.2195121951231</v>
      </c>
      <c r="N48" s="19">
        <f t="shared" si="3"/>
        <v>287.12195121951231</v>
      </c>
      <c r="O48" s="20">
        <f t="shared" si="4"/>
        <v>0</v>
      </c>
      <c r="P48" s="21">
        <f t="shared" si="5"/>
        <v>-12.878048780487688</v>
      </c>
      <c r="Q48" s="191">
        <f t="shared" si="6"/>
        <v>0.95707317073170772</v>
      </c>
      <c r="R48" s="585"/>
      <c r="S48" s="49">
        <v>0.26805555555555549</v>
      </c>
      <c r="T48" s="49">
        <v>0.35347222222222213</v>
      </c>
      <c r="U48" s="188">
        <f t="shared" si="34"/>
        <v>7.9999999999999716</v>
      </c>
      <c r="V48" s="198">
        <f t="shared" si="33"/>
        <v>122.99999999999996</v>
      </c>
      <c r="W48" s="25"/>
      <c r="X48" s="25"/>
      <c r="Y48" s="28"/>
      <c r="Z48" s="28"/>
      <c r="AA48" s="568"/>
      <c r="AB48" s="569"/>
      <c r="AC48" s="50"/>
      <c r="AD48" s="27"/>
      <c r="AE48" s="20">
        <f t="shared" si="8"/>
        <v>-128.78048780487688</v>
      </c>
      <c r="AF48" s="191">
        <f t="shared" si="9"/>
        <v>0.95707317073170772</v>
      </c>
      <c r="AG48" s="585"/>
    </row>
    <row r="49" spans="1:33" ht="15.75" customHeight="1">
      <c r="A49" s="590" t="s">
        <v>1029</v>
      </c>
      <c r="B49" s="39" t="s">
        <v>104</v>
      </c>
      <c r="C49" s="566" t="s">
        <v>108</v>
      </c>
      <c r="D49" s="567"/>
      <c r="E49" s="39">
        <v>27.17</v>
      </c>
      <c r="F49" s="199">
        <v>7692</v>
      </c>
      <c r="G49" s="188">
        <f t="shared" si="31"/>
        <v>208991.64</v>
      </c>
      <c r="H49" s="48" t="s">
        <v>126</v>
      </c>
      <c r="I49" s="197">
        <v>10</v>
      </c>
      <c r="J49" s="43">
        <v>3000</v>
      </c>
      <c r="K49" s="18">
        <f t="shared" si="1"/>
        <v>300</v>
      </c>
      <c r="L49" s="197">
        <v>10</v>
      </c>
      <c r="M49" s="19">
        <f t="shared" si="32"/>
        <v>2866.5838509316768</v>
      </c>
      <c r="N49" s="19">
        <f t="shared" si="3"/>
        <v>286.65838509316768</v>
      </c>
      <c r="O49" s="20">
        <f t="shared" si="4"/>
        <v>0</v>
      </c>
      <c r="P49" s="21">
        <f t="shared" si="5"/>
        <v>-13.341614906832319</v>
      </c>
      <c r="Q49" s="191">
        <f t="shared" si="6"/>
        <v>0.95552795031055893</v>
      </c>
      <c r="R49" s="585"/>
      <c r="S49" s="49">
        <v>0.35902777777777767</v>
      </c>
      <c r="T49" s="49">
        <v>0.47083333333333321</v>
      </c>
      <c r="U49" s="188">
        <f t="shared" si="34"/>
        <v>7.9999999999999716</v>
      </c>
      <c r="V49" s="198">
        <f t="shared" si="33"/>
        <v>161</v>
      </c>
      <c r="W49" s="25"/>
      <c r="X49" s="25"/>
      <c r="Y49" s="28"/>
      <c r="Z49" s="28"/>
      <c r="AA49" s="568"/>
      <c r="AB49" s="569"/>
      <c r="AC49" s="50"/>
      <c r="AD49" s="27"/>
      <c r="AE49" s="20">
        <f t="shared" si="8"/>
        <v>-133.41614906832319</v>
      </c>
      <c r="AF49" s="191">
        <f t="shared" si="9"/>
        <v>0.95552795031055893</v>
      </c>
      <c r="AG49" s="585"/>
    </row>
    <row r="50" spans="1:33" ht="15.75" customHeight="1">
      <c r="A50" s="591" t="s">
        <v>1029</v>
      </c>
      <c r="B50" s="39" t="s">
        <v>1028</v>
      </c>
      <c r="C50" s="570"/>
      <c r="D50" s="571"/>
      <c r="E50" s="189"/>
      <c r="F50" s="199"/>
      <c r="G50" s="188"/>
      <c r="H50" s="199"/>
      <c r="I50" s="32">
        <v>10.75</v>
      </c>
      <c r="J50" s="43">
        <v>2750</v>
      </c>
      <c r="K50" s="18">
        <f t="shared" si="1"/>
        <v>255.81395348837211</v>
      </c>
      <c r="L50" s="32">
        <v>10.75</v>
      </c>
      <c r="M50" s="19">
        <f>AVERAGE(M46:M49)</f>
        <v>2627.1600085609612</v>
      </c>
      <c r="N50" s="18">
        <f t="shared" si="3"/>
        <v>244.38697754055454</v>
      </c>
      <c r="O50" s="20">
        <f t="shared" si="4"/>
        <v>0</v>
      </c>
      <c r="P50" s="21">
        <f t="shared" si="5"/>
        <v>-11.426975947817567</v>
      </c>
      <c r="Q50" s="191">
        <f t="shared" si="6"/>
        <v>0.95533091220398592</v>
      </c>
      <c r="R50" s="586"/>
      <c r="S50" s="49"/>
      <c r="T50" s="49"/>
      <c r="U50" s="188"/>
      <c r="V50" s="198"/>
      <c r="W50" s="25"/>
      <c r="X50" s="25"/>
      <c r="Y50" s="33">
        <f>SUM(Y46:Y49)</f>
        <v>0</v>
      </c>
      <c r="Z50" s="33">
        <f>SUM(Z46:Z49)</f>
        <v>0</v>
      </c>
      <c r="AA50" s="587"/>
      <c r="AB50" s="588"/>
      <c r="AC50" s="33">
        <v>4</v>
      </c>
      <c r="AD50" s="33">
        <f>SUM(AD46:AD49)</f>
        <v>0</v>
      </c>
      <c r="AE50" s="20">
        <f t="shared" si="8"/>
        <v>-122.83999143903884</v>
      </c>
      <c r="AF50" s="191">
        <f t="shared" si="9"/>
        <v>0.95533091220398592</v>
      </c>
      <c r="AG50" s="586"/>
    </row>
    <row r="51" spans="1:33" ht="15.75" customHeight="1">
      <c r="A51" s="582" t="s">
        <v>63</v>
      </c>
      <c r="B51" s="39" t="s">
        <v>79</v>
      </c>
      <c r="C51" s="574" t="s">
        <v>109</v>
      </c>
      <c r="D51" s="574"/>
      <c r="E51" s="39">
        <v>46</v>
      </c>
      <c r="F51" s="45">
        <v>2564</v>
      </c>
      <c r="G51" s="188">
        <f t="shared" ref="G51:G57" si="35">E51*F51</f>
        <v>117944</v>
      </c>
      <c r="H51" s="48" t="s">
        <v>126</v>
      </c>
      <c r="I51" s="197">
        <v>16</v>
      </c>
      <c r="J51" s="43">
        <v>2000</v>
      </c>
      <c r="K51" s="18">
        <f t="shared" si="1"/>
        <v>125</v>
      </c>
      <c r="L51" s="197">
        <v>16</v>
      </c>
      <c r="M51" s="19">
        <f t="shared" ref="M51" si="36">F51/V51*60</f>
        <v>1922.9999999999998</v>
      </c>
      <c r="N51" s="19">
        <f t="shared" si="3"/>
        <v>120.18749999999999</v>
      </c>
      <c r="O51" s="20">
        <f t="shared" si="4"/>
        <v>0</v>
      </c>
      <c r="P51" s="21">
        <f t="shared" si="5"/>
        <v>-4.8125000000000142</v>
      </c>
      <c r="Q51" s="191">
        <f t="shared" si="6"/>
        <v>0.96149999999999991</v>
      </c>
      <c r="R51" s="573">
        <f>Q58</f>
        <v>0.95584191630121917</v>
      </c>
      <c r="S51" s="49">
        <v>0.20833333333333334</v>
      </c>
      <c r="T51" s="49">
        <v>0.2638888888888889</v>
      </c>
      <c r="U51" s="30"/>
      <c r="V51" s="198">
        <f t="shared" ref="V51:V57" si="37">(T51-S51)*24*60</f>
        <v>80</v>
      </c>
      <c r="W51" s="30"/>
      <c r="X51" s="30"/>
      <c r="Y51" s="30"/>
      <c r="Z51" s="30"/>
      <c r="AA51" s="575"/>
      <c r="AB51" s="575"/>
      <c r="AC51" s="50">
        <v>7</v>
      </c>
      <c r="AD51" s="27"/>
      <c r="AE51" s="20">
        <f t="shared" si="8"/>
        <v>-77.000000000000227</v>
      </c>
      <c r="AF51" s="191">
        <f t="shared" si="9"/>
        <v>0.96149999999999991</v>
      </c>
      <c r="AG51" s="573">
        <f>AF58</f>
        <v>0.95584191630121917</v>
      </c>
    </row>
    <row r="52" spans="1:33" ht="15.75" customHeight="1">
      <c r="A52" s="582" t="s">
        <v>63</v>
      </c>
      <c r="B52" s="39" t="s">
        <v>74</v>
      </c>
      <c r="C52" s="574" t="s">
        <v>110</v>
      </c>
      <c r="D52" s="574"/>
      <c r="E52" s="39">
        <v>56.43</v>
      </c>
      <c r="F52" s="45">
        <v>1718</v>
      </c>
      <c r="G52" s="188">
        <f t="shared" si="35"/>
        <v>96946.74</v>
      </c>
      <c r="H52" s="48" t="s">
        <v>126</v>
      </c>
      <c r="I52" s="197">
        <v>22</v>
      </c>
      <c r="J52" s="43">
        <v>2000</v>
      </c>
      <c r="K52" s="18">
        <f t="shared" si="1"/>
        <v>90.909090909090907</v>
      </c>
      <c r="L52" s="197">
        <v>22</v>
      </c>
      <c r="M52" s="19">
        <f>F52/V52*60</f>
        <v>1908.8888888888898</v>
      </c>
      <c r="N52" s="19">
        <f t="shared" si="3"/>
        <v>86.767676767676804</v>
      </c>
      <c r="O52" s="20">
        <f t="shared" si="4"/>
        <v>0</v>
      </c>
      <c r="P52" s="21">
        <f t="shared" si="5"/>
        <v>-4.1414141414141028</v>
      </c>
      <c r="Q52" s="191">
        <f t="shared" si="6"/>
        <v>0.95444444444444487</v>
      </c>
      <c r="R52" s="573"/>
      <c r="S52" s="49">
        <v>0.26805555555555555</v>
      </c>
      <c r="T52" s="49">
        <v>0.30555555555555552</v>
      </c>
      <c r="U52" s="188">
        <f t="shared" ref="U52:U57" si="38">IF(S52=TIME(17,0,0),"",(S52-T51)*24*60)</f>
        <v>5.9999999999999787</v>
      </c>
      <c r="V52" s="198">
        <f t="shared" si="37"/>
        <v>53.999999999999972</v>
      </c>
      <c r="W52" s="25"/>
      <c r="X52" s="25"/>
      <c r="Y52" s="25"/>
      <c r="Z52" s="25"/>
      <c r="AA52" s="575"/>
      <c r="AB52" s="575"/>
      <c r="AC52" s="50"/>
      <c r="AD52" s="27"/>
      <c r="AE52" s="20">
        <f t="shared" si="8"/>
        <v>-91.111111111110176</v>
      </c>
      <c r="AF52" s="191">
        <f t="shared" si="9"/>
        <v>0.95444444444444487</v>
      </c>
      <c r="AG52" s="573"/>
    </row>
    <row r="53" spans="1:33" ht="15.75" customHeight="1">
      <c r="A53" s="582" t="s">
        <v>63</v>
      </c>
      <c r="B53" s="39" t="s">
        <v>74</v>
      </c>
      <c r="C53" s="566" t="s">
        <v>111</v>
      </c>
      <c r="D53" s="567"/>
      <c r="E53" s="39">
        <v>51.75</v>
      </c>
      <c r="F53" s="45">
        <v>1022</v>
      </c>
      <c r="G53" s="188">
        <f t="shared" si="35"/>
        <v>52888.5</v>
      </c>
      <c r="H53" s="48" t="s">
        <v>126</v>
      </c>
      <c r="I53" s="197">
        <v>25</v>
      </c>
      <c r="J53" s="43">
        <v>2000</v>
      </c>
      <c r="K53" s="18">
        <f t="shared" si="1"/>
        <v>80</v>
      </c>
      <c r="L53" s="197">
        <v>25</v>
      </c>
      <c r="M53" s="19">
        <f t="shared" ref="M53:M57" si="39">F53/V53*60</f>
        <v>1916.250000000002</v>
      </c>
      <c r="N53" s="19">
        <f t="shared" si="3"/>
        <v>76.650000000000077</v>
      </c>
      <c r="O53" s="20">
        <f t="shared" si="4"/>
        <v>0</v>
      </c>
      <c r="P53" s="21">
        <f t="shared" si="5"/>
        <v>-3.3499999999999233</v>
      </c>
      <c r="Q53" s="191">
        <f t="shared" si="6"/>
        <v>0.958125000000001</v>
      </c>
      <c r="R53" s="573"/>
      <c r="S53" s="49">
        <v>0.31111111111111106</v>
      </c>
      <c r="T53" s="49">
        <v>0.33333333333333326</v>
      </c>
      <c r="U53" s="188">
        <f t="shared" si="38"/>
        <v>7.9999999999999716</v>
      </c>
      <c r="V53" s="198">
        <f t="shared" si="37"/>
        <v>31.999999999999964</v>
      </c>
      <c r="W53" s="25"/>
      <c r="X53" s="25"/>
      <c r="Y53" s="28"/>
      <c r="Z53" s="28"/>
      <c r="AA53" s="575"/>
      <c r="AB53" s="575"/>
      <c r="AC53" s="50"/>
      <c r="AD53" s="27"/>
      <c r="AE53" s="20">
        <f t="shared" si="8"/>
        <v>-83.749999999997954</v>
      </c>
      <c r="AF53" s="191">
        <f t="shared" si="9"/>
        <v>0.958125000000001</v>
      </c>
      <c r="AG53" s="573"/>
    </row>
    <row r="54" spans="1:33" ht="15.75" customHeight="1">
      <c r="A54" s="582" t="s">
        <v>63</v>
      </c>
      <c r="B54" s="39" t="s">
        <v>74</v>
      </c>
      <c r="C54" s="192" t="s">
        <v>88</v>
      </c>
      <c r="D54" s="193"/>
      <c r="E54" s="39">
        <v>59.04</v>
      </c>
      <c r="F54" s="45">
        <v>6034</v>
      </c>
      <c r="G54" s="188">
        <f t="shared" si="35"/>
        <v>356247.36</v>
      </c>
      <c r="H54" s="48" t="s">
        <v>126</v>
      </c>
      <c r="I54" s="197">
        <v>19</v>
      </c>
      <c r="J54" s="43">
        <v>2000</v>
      </c>
      <c r="K54" s="18">
        <f t="shared" si="1"/>
        <v>105.26315789473684</v>
      </c>
      <c r="L54" s="197">
        <v>19</v>
      </c>
      <c r="M54" s="19">
        <f t="shared" si="39"/>
        <v>1905.4736842105267</v>
      </c>
      <c r="N54" s="19">
        <f t="shared" si="3"/>
        <v>100.2880886426593</v>
      </c>
      <c r="O54" s="20">
        <f t="shared" si="4"/>
        <v>0</v>
      </c>
      <c r="P54" s="21">
        <f t="shared" si="5"/>
        <v>-4.9750692520775317</v>
      </c>
      <c r="Q54" s="191">
        <f t="shared" si="6"/>
        <v>0.95273684210526344</v>
      </c>
      <c r="R54" s="573"/>
      <c r="S54" s="49">
        <v>0.33819444444444435</v>
      </c>
      <c r="T54" s="49">
        <v>0.47013888888888877</v>
      </c>
      <c r="U54" s="188">
        <f t="shared" si="38"/>
        <v>6.9999999999999751</v>
      </c>
      <c r="V54" s="198">
        <f t="shared" si="37"/>
        <v>189.99999999999997</v>
      </c>
      <c r="W54" s="25"/>
      <c r="X54" s="25"/>
      <c r="Y54" s="28"/>
      <c r="Z54" s="28"/>
      <c r="AA54" s="575"/>
      <c r="AB54" s="575"/>
      <c r="AC54" s="50"/>
      <c r="AD54" s="27"/>
      <c r="AE54" s="20">
        <f t="shared" si="8"/>
        <v>-94.526315789473301</v>
      </c>
      <c r="AF54" s="191">
        <f t="shared" si="9"/>
        <v>0.95273684210526333</v>
      </c>
      <c r="AG54" s="573"/>
    </row>
    <row r="55" spans="1:33" ht="15.75" customHeight="1">
      <c r="A55" s="582" t="s">
        <v>63</v>
      </c>
      <c r="B55" s="39" t="s">
        <v>74</v>
      </c>
      <c r="C55" s="192" t="s">
        <v>112</v>
      </c>
      <c r="D55" s="193"/>
      <c r="E55" s="39">
        <v>55.32</v>
      </c>
      <c r="F55" s="45">
        <v>1687</v>
      </c>
      <c r="G55" s="188">
        <f t="shared" si="35"/>
        <v>93324.84</v>
      </c>
      <c r="H55" s="48" t="s">
        <v>126</v>
      </c>
      <c r="I55" s="197">
        <v>15</v>
      </c>
      <c r="J55" s="43">
        <v>2000</v>
      </c>
      <c r="K55" s="18">
        <f t="shared" si="1"/>
        <v>133.33333333333334</v>
      </c>
      <c r="L55" s="197">
        <v>15</v>
      </c>
      <c r="M55" s="19">
        <f t="shared" si="39"/>
        <v>1909.8113207547181</v>
      </c>
      <c r="N55" s="19">
        <f t="shared" si="3"/>
        <v>127.3207547169812</v>
      </c>
      <c r="O55" s="20">
        <f t="shared" si="4"/>
        <v>0</v>
      </c>
      <c r="P55" s="21">
        <f t="shared" si="5"/>
        <v>-6.012578616352144</v>
      </c>
      <c r="Q55" s="191">
        <f t="shared" si="6"/>
        <v>0.95490566037735891</v>
      </c>
      <c r="R55" s="573"/>
      <c r="S55" s="49">
        <v>0.70833333333333337</v>
      </c>
      <c r="T55" s="49">
        <v>0.74513888888888891</v>
      </c>
      <c r="U55" s="188" t="str">
        <f t="shared" si="38"/>
        <v/>
      </c>
      <c r="V55" s="198">
        <f t="shared" si="37"/>
        <v>52.999999999999972</v>
      </c>
      <c r="W55" s="25"/>
      <c r="X55" s="25"/>
      <c r="Y55" s="28"/>
      <c r="Z55" s="28"/>
      <c r="AA55" s="575"/>
      <c r="AB55" s="575"/>
      <c r="AC55" s="50"/>
      <c r="AD55" s="27"/>
      <c r="AE55" s="20">
        <f t="shared" si="8"/>
        <v>-90.188679245281946</v>
      </c>
      <c r="AF55" s="191">
        <f t="shared" si="9"/>
        <v>0.95490566037735902</v>
      </c>
      <c r="AG55" s="573"/>
    </row>
    <row r="56" spans="1:33" ht="15.75" customHeight="1">
      <c r="A56" s="582" t="s">
        <v>63</v>
      </c>
      <c r="B56" s="39" t="s">
        <v>74</v>
      </c>
      <c r="C56" s="566" t="s">
        <v>113</v>
      </c>
      <c r="D56" s="567"/>
      <c r="E56" s="39">
        <v>55.56</v>
      </c>
      <c r="F56" s="45">
        <v>2354</v>
      </c>
      <c r="G56" s="188">
        <f t="shared" si="35"/>
        <v>130788.24</v>
      </c>
      <c r="H56" s="48" t="s">
        <v>126</v>
      </c>
      <c r="I56" s="197">
        <v>17</v>
      </c>
      <c r="J56" s="43">
        <v>2000</v>
      </c>
      <c r="K56" s="18">
        <f t="shared" si="1"/>
        <v>117.64705882352941</v>
      </c>
      <c r="L56" s="197">
        <v>17</v>
      </c>
      <c r="M56" s="19">
        <f t="shared" si="39"/>
        <v>1908.6486486486472</v>
      </c>
      <c r="N56" s="19">
        <f t="shared" si="3"/>
        <v>112.27344992050865</v>
      </c>
      <c r="O56" s="20">
        <f t="shared" si="4"/>
        <v>0</v>
      </c>
      <c r="P56" s="21">
        <f t="shared" si="5"/>
        <v>-5.3736089030207523</v>
      </c>
      <c r="Q56" s="191">
        <f t="shared" si="6"/>
        <v>0.95432432432432357</v>
      </c>
      <c r="R56" s="573"/>
      <c r="S56" s="49">
        <v>0.74930555555555556</v>
      </c>
      <c r="T56" s="49">
        <v>0.80069444444444449</v>
      </c>
      <c r="U56" s="188">
        <f t="shared" si="38"/>
        <v>5.9999999999999787</v>
      </c>
      <c r="V56" s="198">
        <f t="shared" si="37"/>
        <v>74.000000000000057</v>
      </c>
      <c r="W56" s="25"/>
      <c r="X56" s="25"/>
      <c r="Y56" s="28"/>
      <c r="Z56" s="28"/>
      <c r="AA56" s="568"/>
      <c r="AB56" s="569"/>
      <c r="AC56" s="50"/>
      <c r="AD56" s="27"/>
      <c r="AE56" s="20">
        <f t="shared" si="8"/>
        <v>-91.351351351352832</v>
      </c>
      <c r="AF56" s="191">
        <f t="shared" si="9"/>
        <v>0.95432432432432357</v>
      </c>
      <c r="AG56" s="573"/>
    </row>
    <row r="57" spans="1:33" ht="15.75" customHeight="1">
      <c r="A57" s="582" t="s">
        <v>1030</v>
      </c>
      <c r="B57" s="39" t="s">
        <v>74</v>
      </c>
      <c r="C57" s="566" t="s">
        <v>114</v>
      </c>
      <c r="D57" s="567"/>
      <c r="E57" s="39">
        <v>54.29</v>
      </c>
      <c r="F57" s="45">
        <v>1114</v>
      </c>
      <c r="G57" s="188">
        <f t="shared" si="35"/>
        <v>60479.06</v>
      </c>
      <c r="H57" s="48" t="s">
        <v>126</v>
      </c>
      <c r="I57" s="197">
        <v>20</v>
      </c>
      <c r="J57" s="43">
        <v>2000</v>
      </c>
      <c r="K57" s="18">
        <f t="shared" si="1"/>
        <v>100</v>
      </c>
      <c r="L57" s="197">
        <v>20</v>
      </c>
      <c r="M57" s="19">
        <f t="shared" si="39"/>
        <v>1909.7142857142837</v>
      </c>
      <c r="N57" s="19">
        <f t="shared" si="3"/>
        <v>95.485714285714181</v>
      </c>
      <c r="O57" s="20">
        <f t="shared" si="4"/>
        <v>0</v>
      </c>
      <c r="P57" s="21">
        <f t="shared" si="5"/>
        <v>-4.514285714285819</v>
      </c>
      <c r="Q57" s="191">
        <f t="shared" si="6"/>
        <v>0.95485714285714185</v>
      </c>
      <c r="R57" s="573"/>
      <c r="S57" s="49">
        <v>0.8041666666666667</v>
      </c>
      <c r="T57" s="49">
        <v>0.82847222222222228</v>
      </c>
      <c r="U57" s="188">
        <f t="shared" si="38"/>
        <v>4.9999999999999822</v>
      </c>
      <c r="V57" s="198">
        <f t="shared" si="37"/>
        <v>35.000000000000036</v>
      </c>
      <c r="W57" s="25"/>
      <c r="X57" s="25"/>
      <c r="Y57" s="28"/>
      <c r="Z57" s="28"/>
      <c r="AA57" s="568"/>
      <c r="AB57" s="569"/>
      <c r="AC57" s="50"/>
      <c r="AD57" s="27"/>
      <c r="AE57" s="20">
        <f t="shared" si="8"/>
        <v>-90.285714285716267</v>
      </c>
      <c r="AF57" s="191">
        <f t="shared" si="9"/>
        <v>0.95485714285714185</v>
      </c>
      <c r="AG57" s="573"/>
    </row>
    <row r="58" spans="1:33">
      <c r="A58" s="583" t="s">
        <v>1030</v>
      </c>
      <c r="B58" s="39" t="s">
        <v>1028</v>
      </c>
      <c r="C58" s="576"/>
      <c r="D58" s="576"/>
      <c r="E58" s="196"/>
      <c r="F58" s="42"/>
      <c r="G58" s="18"/>
      <c r="H58" s="199"/>
      <c r="I58" s="32">
        <v>19.142857142857142</v>
      </c>
      <c r="J58" s="43">
        <v>2000</v>
      </c>
      <c r="K58" s="18">
        <f t="shared" si="1"/>
        <v>104.47761194029852</v>
      </c>
      <c r="L58" s="32">
        <v>19.142857142857142</v>
      </c>
      <c r="M58" s="19">
        <f>AVERAGE(M51:M57)</f>
        <v>1911.6838326024383</v>
      </c>
      <c r="N58" s="18">
        <f t="shared" si="3"/>
        <v>99.864080807590071</v>
      </c>
      <c r="O58" s="20">
        <f t="shared" si="4"/>
        <v>0</v>
      </c>
      <c r="P58" s="21">
        <f t="shared" si="5"/>
        <v>-4.6135311327084452</v>
      </c>
      <c r="Q58" s="191">
        <f t="shared" si="6"/>
        <v>0.95584191630121917</v>
      </c>
      <c r="R58" s="573"/>
      <c r="S58" s="49"/>
      <c r="T58" s="49"/>
      <c r="U58" s="188"/>
      <c r="V58" s="198"/>
      <c r="W58" s="18"/>
      <c r="X58" s="18"/>
      <c r="Y58" s="33">
        <f>SUM(Y51:Y57)</f>
        <v>0</v>
      </c>
      <c r="Z58" s="33">
        <f>SUM(Z51:Z57)</f>
        <v>0</v>
      </c>
      <c r="AA58" s="572"/>
      <c r="AB58" s="572"/>
      <c r="AC58" s="33">
        <v>7</v>
      </c>
      <c r="AD58" s="33">
        <f>SUM(AD51:AD57)</f>
        <v>0</v>
      </c>
      <c r="AE58" s="20">
        <f>M58-J58</f>
        <v>-88.316167397561685</v>
      </c>
      <c r="AF58" s="191">
        <f t="shared" si="9"/>
        <v>0.95584191630121917</v>
      </c>
      <c r="AG58" s="573"/>
    </row>
    <row r="59" spans="1:33" ht="15.75" customHeight="1">
      <c r="A59" s="580" t="s">
        <v>66</v>
      </c>
      <c r="B59" s="199" t="s">
        <v>104</v>
      </c>
      <c r="C59" s="574" t="s">
        <v>115</v>
      </c>
      <c r="D59" s="574"/>
      <c r="E59" s="39">
        <v>34.36</v>
      </c>
      <c r="F59" s="45">
        <v>2443</v>
      </c>
      <c r="G59" s="188">
        <f t="shared" ref="G59:G64" si="40">E59*F59</f>
        <v>83941.48</v>
      </c>
      <c r="H59" s="48" t="s">
        <v>126</v>
      </c>
      <c r="I59" s="197">
        <v>10</v>
      </c>
      <c r="J59" s="43">
        <v>3000</v>
      </c>
      <c r="K59" s="18">
        <f t="shared" si="1"/>
        <v>300</v>
      </c>
      <c r="L59" s="197">
        <v>10</v>
      </c>
      <c r="M59" s="19">
        <f t="shared" ref="M59:M64" si="41">F59/V59*60</f>
        <v>2874.1176470588225</v>
      </c>
      <c r="N59" s="18">
        <f t="shared" si="3"/>
        <v>287.41176470588226</v>
      </c>
      <c r="O59" s="20">
        <f t="shared" si="4"/>
        <v>0</v>
      </c>
      <c r="P59" s="21">
        <f t="shared" si="5"/>
        <v>-12.588235294117737</v>
      </c>
      <c r="Q59" s="191">
        <f t="shared" si="6"/>
        <v>0.95803921568627426</v>
      </c>
      <c r="R59" s="573">
        <f>Q65</f>
        <v>0.96671691253303793</v>
      </c>
      <c r="S59" s="49">
        <v>0.20833333333333334</v>
      </c>
      <c r="T59" s="49">
        <v>0.24375000000000002</v>
      </c>
      <c r="U59" s="188"/>
      <c r="V59" s="198">
        <f t="shared" ref="V59:V64" si="42">(T59-S59)*24*60</f>
        <v>51.000000000000021</v>
      </c>
      <c r="W59" s="30"/>
      <c r="X59" s="30"/>
      <c r="Y59" s="30"/>
      <c r="Z59" s="30"/>
      <c r="AA59" s="575"/>
      <c r="AB59" s="575"/>
      <c r="AC59" s="50">
        <v>6</v>
      </c>
      <c r="AD59" s="27"/>
      <c r="AE59" s="20">
        <f t="shared" ref="AE59:AE72" si="43">M59-J59</f>
        <v>-125.88235294117749</v>
      </c>
      <c r="AF59" s="191">
        <f t="shared" si="9"/>
        <v>0.95803921568627415</v>
      </c>
      <c r="AG59" s="573">
        <f>AF65</f>
        <v>0.96671691253303793</v>
      </c>
    </row>
    <row r="60" spans="1:33" ht="15.75" customHeight="1">
      <c r="A60" s="580" t="s">
        <v>1031</v>
      </c>
      <c r="B60" s="199" t="s">
        <v>104</v>
      </c>
      <c r="C60" s="574" t="s">
        <v>116</v>
      </c>
      <c r="D60" s="574"/>
      <c r="E60" s="39">
        <v>34.36</v>
      </c>
      <c r="F60" s="45">
        <v>1231</v>
      </c>
      <c r="G60" s="188">
        <f t="shared" si="40"/>
        <v>42297.159999999996</v>
      </c>
      <c r="H60" s="48" t="s">
        <v>126</v>
      </c>
      <c r="I60" s="197">
        <v>10</v>
      </c>
      <c r="J60" s="43">
        <v>3000</v>
      </c>
      <c r="K60" s="18">
        <f t="shared" si="1"/>
        <v>300</v>
      </c>
      <c r="L60" s="197">
        <v>10</v>
      </c>
      <c r="M60" s="19">
        <f t="shared" si="41"/>
        <v>2954.3999999999965</v>
      </c>
      <c r="N60" s="18">
        <f t="shared" si="3"/>
        <v>295.43999999999966</v>
      </c>
      <c r="O60" s="20">
        <f t="shared" si="4"/>
        <v>0</v>
      </c>
      <c r="P60" s="21">
        <f t="shared" si="5"/>
        <v>-4.5600000000003433</v>
      </c>
      <c r="Q60" s="191">
        <f t="shared" si="6"/>
        <v>0.9847999999999989</v>
      </c>
      <c r="R60" s="573"/>
      <c r="S60" s="49">
        <v>0.2479166666666667</v>
      </c>
      <c r="T60" s="49">
        <v>0.26527777777777783</v>
      </c>
      <c r="U60" s="188">
        <f t="shared" ref="U60:U64" si="44">(S60-T59)*24*60</f>
        <v>6.0000000000000187</v>
      </c>
      <c r="V60" s="198">
        <f t="shared" si="42"/>
        <v>25.000000000000032</v>
      </c>
      <c r="W60" s="188"/>
      <c r="X60" s="188"/>
      <c r="Y60" s="188"/>
      <c r="Z60" s="188"/>
      <c r="AA60" s="575"/>
      <c r="AB60" s="575"/>
      <c r="AC60" s="50"/>
      <c r="AD60" s="27"/>
      <c r="AE60" s="20">
        <f t="shared" si="43"/>
        <v>-45.600000000003547</v>
      </c>
      <c r="AF60" s="191">
        <f t="shared" si="9"/>
        <v>0.98479999999999879</v>
      </c>
      <c r="AG60" s="573"/>
    </row>
    <row r="61" spans="1:33" ht="15.75" customHeight="1">
      <c r="A61" s="580" t="s">
        <v>1031</v>
      </c>
      <c r="B61" s="199" t="s">
        <v>104</v>
      </c>
      <c r="C61" s="574" t="s">
        <v>117</v>
      </c>
      <c r="D61" s="574"/>
      <c r="E61" s="39">
        <v>26.78</v>
      </c>
      <c r="F61" s="45">
        <v>2661</v>
      </c>
      <c r="G61" s="188">
        <f t="shared" si="40"/>
        <v>71261.58</v>
      </c>
      <c r="H61" s="48" t="s">
        <v>126</v>
      </c>
      <c r="I61" s="197">
        <v>10</v>
      </c>
      <c r="J61" s="43">
        <v>3000</v>
      </c>
      <c r="K61" s="18">
        <f t="shared" si="1"/>
        <v>300</v>
      </c>
      <c r="L61" s="197">
        <v>10</v>
      </c>
      <c r="M61" s="19">
        <f t="shared" si="41"/>
        <v>2902.9090909090928</v>
      </c>
      <c r="N61" s="18">
        <f t="shared" si="3"/>
        <v>290.29090909090928</v>
      </c>
      <c r="O61" s="20">
        <f t="shared" si="4"/>
        <v>0</v>
      </c>
      <c r="P61" s="21">
        <f t="shared" si="5"/>
        <v>-9.7090909090907189</v>
      </c>
      <c r="Q61" s="191">
        <f t="shared" si="6"/>
        <v>0.96763636363636429</v>
      </c>
      <c r="R61" s="573"/>
      <c r="S61" s="49">
        <v>0.26944444444444449</v>
      </c>
      <c r="T61" s="49">
        <v>0.30763888888888891</v>
      </c>
      <c r="U61" s="188">
        <f t="shared" si="44"/>
        <v>5.9999999999999787</v>
      </c>
      <c r="V61" s="198">
        <f t="shared" si="42"/>
        <v>54.999999999999964</v>
      </c>
      <c r="W61" s="188"/>
      <c r="X61" s="188"/>
      <c r="Y61" s="188"/>
      <c r="Z61" s="188"/>
      <c r="AA61" s="575"/>
      <c r="AB61" s="575"/>
      <c r="AC61" s="50"/>
      <c r="AD61" s="27"/>
      <c r="AE61" s="20">
        <f t="shared" si="43"/>
        <v>-97.090909090907189</v>
      </c>
      <c r="AF61" s="191">
        <f t="shared" si="9"/>
        <v>0.96763636363636429</v>
      </c>
      <c r="AG61" s="573"/>
    </row>
    <row r="62" spans="1:33" ht="15.75" customHeight="1">
      <c r="A62" s="580" t="s">
        <v>1031</v>
      </c>
      <c r="B62" s="199" t="s">
        <v>104</v>
      </c>
      <c r="C62" s="574" t="s">
        <v>118</v>
      </c>
      <c r="D62" s="574"/>
      <c r="E62" s="39">
        <v>37.880000000000003</v>
      </c>
      <c r="F62" s="45">
        <v>1651</v>
      </c>
      <c r="G62" s="188">
        <f t="shared" si="40"/>
        <v>62539.880000000005</v>
      </c>
      <c r="H62" s="48" t="s">
        <v>126</v>
      </c>
      <c r="I62" s="197">
        <v>10</v>
      </c>
      <c r="J62" s="43">
        <v>3000</v>
      </c>
      <c r="K62" s="18">
        <f t="shared" si="1"/>
        <v>300</v>
      </c>
      <c r="L62" s="197">
        <v>10</v>
      </c>
      <c r="M62" s="19">
        <f t="shared" si="41"/>
        <v>2913.5294117647022</v>
      </c>
      <c r="N62" s="18">
        <f t="shared" si="3"/>
        <v>291.35294117647021</v>
      </c>
      <c r="O62" s="20">
        <f t="shared" si="4"/>
        <v>0</v>
      </c>
      <c r="P62" s="21">
        <f t="shared" si="5"/>
        <v>-8.6470588235297896</v>
      </c>
      <c r="Q62" s="191">
        <f t="shared" si="6"/>
        <v>0.97117647058823409</v>
      </c>
      <c r="R62" s="573"/>
      <c r="S62" s="49">
        <v>0.31319444444444444</v>
      </c>
      <c r="T62" s="49">
        <v>0.33680555555555558</v>
      </c>
      <c r="U62" s="188">
        <f t="shared" si="44"/>
        <v>7.9999999999999716</v>
      </c>
      <c r="V62" s="198">
        <f t="shared" si="42"/>
        <v>34.000000000000043</v>
      </c>
      <c r="W62" s="188"/>
      <c r="X62" s="188"/>
      <c r="Y62" s="188"/>
      <c r="Z62" s="188"/>
      <c r="AA62" s="575"/>
      <c r="AB62" s="575"/>
      <c r="AC62" s="50"/>
      <c r="AD62" s="27"/>
      <c r="AE62" s="20">
        <f t="shared" si="43"/>
        <v>-86.470588235297782</v>
      </c>
      <c r="AF62" s="191">
        <f t="shared" si="9"/>
        <v>0.97117647058823409</v>
      </c>
      <c r="AG62" s="573"/>
    </row>
    <row r="63" spans="1:33">
      <c r="A63" s="581" t="s">
        <v>1031</v>
      </c>
      <c r="B63" s="199" t="s">
        <v>104</v>
      </c>
      <c r="C63" s="574" t="s">
        <v>119</v>
      </c>
      <c r="D63" s="574"/>
      <c r="E63" s="39">
        <v>35.869999999999997</v>
      </c>
      <c r="F63" s="45">
        <v>4181</v>
      </c>
      <c r="G63" s="188">
        <f t="shared" si="40"/>
        <v>149972.47</v>
      </c>
      <c r="H63" s="48" t="s">
        <v>126</v>
      </c>
      <c r="I63" s="197">
        <v>9</v>
      </c>
      <c r="J63" s="43">
        <v>3000</v>
      </c>
      <c r="K63" s="18">
        <f t="shared" si="1"/>
        <v>333.33333333333331</v>
      </c>
      <c r="L63" s="197">
        <v>9</v>
      </c>
      <c r="M63" s="19">
        <f t="shared" si="41"/>
        <v>2883.4482758620684</v>
      </c>
      <c r="N63" s="18">
        <f t="shared" si="3"/>
        <v>320.38314176245206</v>
      </c>
      <c r="O63" s="20">
        <f t="shared" si="4"/>
        <v>0</v>
      </c>
      <c r="P63" s="21">
        <f t="shared" si="5"/>
        <v>-12.950191570881259</v>
      </c>
      <c r="Q63" s="191">
        <f t="shared" si="6"/>
        <v>0.96114942528735625</v>
      </c>
      <c r="R63" s="573"/>
      <c r="S63" s="49">
        <v>0.34166666666666667</v>
      </c>
      <c r="T63" s="49">
        <v>0.40208333333333335</v>
      </c>
      <c r="U63" s="188">
        <f t="shared" si="44"/>
        <v>6.9999999999999751</v>
      </c>
      <c r="V63" s="198">
        <f t="shared" si="42"/>
        <v>87.000000000000014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-116.55172413793161</v>
      </c>
      <c r="AF63" s="191">
        <f t="shared" si="9"/>
        <v>0.96114942528735614</v>
      </c>
      <c r="AG63" s="573"/>
    </row>
    <row r="64" spans="1:33" ht="15" customHeight="1">
      <c r="A64" s="581" t="s">
        <v>1031</v>
      </c>
      <c r="B64" s="199" t="s">
        <v>104</v>
      </c>
      <c r="C64" s="566" t="s">
        <v>120</v>
      </c>
      <c r="D64" s="567"/>
      <c r="E64" s="39">
        <v>34.35</v>
      </c>
      <c r="F64" s="45">
        <v>2298</v>
      </c>
      <c r="G64" s="188">
        <f t="shared" si="40"/>
        <v>78936.3</v>
      </c>
      <c r="H64" s="48" t="s">
        <v>126</v>
      </c>
      <c r="I64" s="197">
        <v>8</v>
      </c>
      <c r="J64" s="43">
        <v>3000</v>
      </c>
      <c r="K64" s="18">
        <f t="shared" si="1"/>
        <v>375</v>
      </c>
      <c r="L64" s="197">
        <v>8</v>
      </c>
      <c r="M64" s="19">
        <f t="shared" si="41"/>
        <v>2872.5000000000009</v>
      </c>
      <c r="N64" s="18">
        <f t="shared" si="3"/>
        <v>359.06250000000011</v>
      </c>
      <c r="O64" s="20">
        <f t="shared" si="4"/>
        <v>0</v>
      </c>
      <c r="P64" s="21">
        <f t="shared" si="5"/>
        <v>-15.937499999999886</v>
      </c>
      <c r="Q64" s="191">
        <f t="shared" si="6"/>
        <v>0.95750000000000035</v>
      </c>
      <c r="R64" s="573"/>
      <c r="S64" s="49">
        <v>0.40555555555555556</v>
      </c>
      <c r="T64" s="49">
        <v>0.43888888888888888</v>
      </c>
      <c r="U64" s="188">
        <f t="shared" si="44"/>
        <v>4.9999999999999822</v>
      </c>
      <c r="V64" s="198">
        <f t="shared" si="42"/>
        <v>47.999999999999986</v>
      </c>
      <c r="W64" s="188"/>
      <c r="X64" s="188"/>
      <c r="Y64" s="194"/>
      <c r="Z64" s="194"/>
      <c r="AA64" s="568"/>
      <c r="AB64" s="569"/>
      <c r="AC64" s="50"/>
      <c r="AD64" s="27"/>
      <c r="AE64" s="20">
        <f t="shared" si="43"/>
        <v>-127.49999999999909</v>
      </c>
      <c r="AF64" s="191">
        <f t="shared" si="9"/>
        <v>0.95750000000000035</v>
      </c>
      <c r="AG64" s="573"/>
    </row>
    <row r="65" spans="1:33">
      <c r="A65" s="581" t="s">
        <v>1031</v>
      </c>
      <c r="B65" s="39" t="s">
        <v>46</v>
      </c>
      <c r="C65" s="576"/>
      <c r="D65" s="576"/>
      <c r="E65" s="196"/>
      <c r="F65" s="42"/>
      <c r="G65" s="18"/>
      <c r="H65" s="199"/>
      <c r="I65" s="32">
        <v>9.5</v>
      </c>
      <c r="J65" s="43">
        <v>3000</v>
      </c>
      <c r="K65" s="18">
        <f t="shared" si="1"/>
        <v>315.78947368421052</v>
      </c>
      <c r="L65" s="32">
        <v>9.5</v>
      </c>
      <c r="M65" s="19">
        <f>AVERAGE(M59:M64)</f>
        <v>2900.1507375991137</v>
      </c>
      <c r="N65" s="18">
        <f t="shared" si="3"/>
        <v>305.27902501043303</v>
      </c>
      <c r="O65" s="20">
        <f t="shared" si="4"/>
        <v>0</v>
      </c>
      <c r="P65" s="21">
        <f t="shared" si="5"/>
        <v>-10.510448673777489</v>
      </c>
      <c r="Q65" s="191">
        <f t="shared" si="6"/>
        <v>0.96671691253303793</v>
      </c>
      <c r="R65" s="573"/>
      <c r="S65" s="49"/>
      <c r="T65" s="49"/>
      <c r="U65" s="18"/>
      <c r="V65" s="198"/>
      <c r="W65" s="18"/>
      <c r="X65" s="18"/>
      <c r="Y65" s="33">
        <f>SUM(Y59:Y64)</f>
        <v>0</v>
      </c>
      <c r="Z65" s="33">
        <f>SUM(Z59:Z64)</f>
        <v>0</v>
      </c>
      <c r="AA65" s="572"/>
      <c r="AB65" s="572"/>
      <c r="AC65" s="33">
        <v>6</v>
      </c>
      <c r="AD65" s="33">
        <f>SUM(AD59:AD64)</f>
        <v>0</v>
      </c>
      <c r="AE65" s="20">
        <f t="shared" si="43"/>
        <v>-99.849262400886346</v>
      </c>
      <c r="AF65" s="191">
        <f t="shared" si="9"/>
        <v>0.96671691253303793</v>
      </c>
      <c r="AG65" s="573"/>
    </row>
    <row r="66" spans="1:33" ht="15.75" customHeight="1">
      <c r="A66" s="577" t="s">
        <v>71</v>
      </c>
      <c r="B66" s="199" t="s">
        <v>94</v>
      </c>
      <c r="C66" s="574" t="s">
        <v>124</v>
      </c>
      <c r="D66" s="574"/>
      <c r="E66" s="39">
        <v>22.69</v>
      </c>
      <c r="F66" s="199">
        <v>5019</v>
      </c>
      <c r="G66" s="188">
        <f t="shared" ref="G66:G71" si="45">E66*F66</f>
        <v>113881.11</v>
      </c>
      <c r="H66" s="48" t="s">
        <v>126</v>
      </c>
      <c r="I66" s="197">
        <v>15</v>
      </c>
      <c r="J66" s="43">
        <v>2400</v>
      </c>
      <c r="K66" s="18">
        <f t="shared" si="1"/>
        <v>160</v>
      </c>
      <c r="L66" s="197">
        <v>15</v>
      </c>
      <c r="M66" s="19">
        <f t="shared" ref="M66:M71" si="46">F66/V66*60</f>
        <v>2298.7786259541986</v>
      </c>
      <c r="N66" s="18">
        <f t="shared" si="3"/>
        <v>153.25190839694656</v>
      </c>
      <c r="O66" s="20">
        <f t="shared" si="4"/>
        <v>0</v>
      </c>
      <c r="P66" s="21">
        <f t="shared" si="5"/>
        <v>-6.7480916030534388</v>
      </c>
      <c r="Q66" s="191">
        <f t="shared" si="6"/>
        <v>0.95782442748091601</v>
      </c>
      <c r="R66" s="573">
        <f>Q72</f>
        <v>0.95671088537815063</v>
      </c>
      <c r="S66" s="49">
        <v>8.3333333333333329E-2</v>
      </c>
      <c r="T66" s="49">
        <v>0.17430555555555555</v>
      </c>
      <c r="U66" s="30"/>
      <c r="V66" s="198">
        <f t="shared" ref="V66:V71" si="47">(T66-S66)*24*60</f>
        <v>131</v>
      </c>
      <c r="W66" s="25">
        <f>T66</f>
        <v>0.17430555555555555</v>
      </c>
      <c r="X66" s="25">
        <f>S67</f>
        <v>0.19305555555555556</v>
      </c>
      <c r="Y66" s="25"/>
      <c r="Z66" s="25"/>
      <c r="AA66" s="575"/>
      <c r="AB66" s="575"/>
      <c r="AC66" s="50">
        <v>6</v>
      </c>
      <c r="AD66" s="27"/>
      <c r="AE66" s="20">
        <f t="shared" si="43"/>
        <v>-101.22137404580144</v>
      </c>
      <c r="AF66" s="191">
        <f t="shared" si="9"/>
        <v>0.95782442748091612</v>
      </c>
      <c r="AG66" s="573">
        <f>AF72</f>
        <v>0.95671088537815063</v>
      </c>
    </row>
    <row r="67" spans="1:33" ht="15.75" customHeight="1">
      <c r="A67" s="578" t="s">
        <v>1032</v>
      </c>
      <c r="B67" s="199" t="s">
        <v>94</v>
      </c>
      <c r="C67" s="574" t="s">
        <v>123</v>
      </c>
      <c r="D67" s="574"/>
      <c r="E67" s="39">
        <v>20.21</v>
      </c>
      <c r="F67" s="199">
        <v>3524</v>
      </c>
      <c r="G67" s="188">
        <f t="shared" si="45"/>
        <v>71220.040000000008</v>
      </c>
      <c r="H67" s="48" t="s">
        <v>126</v>
      </c>
      <c r="I67" s="197">
        <v>15</v>
      </c>
      <c r="J67" s="43">
        <v>2400</v>
      </c>
      <c r="K67" s="18">
        <f t="shared" si="1"/>
        <v>160</v>
      </c>
      <c r="L67" s="197">
        <v>15</v>
      </c>
      <c r="M67" s="19">
        <f t="shared" si="46"/>
        <v>2298.2608695652166</v>
      </c>
      <c r="N67" s="18">
        <f t="shared" si="3"/>
        <v>153.21739130434779</v>
      </c>
      <c r="O67" s="20">
        <f t="shared" si="4"/>
        <v>0</v>
      </c>
      <c r="P67" s="21">
        <f t="shared" si="5"/>
        <v>-6.7826086956522147</v>
      </c>
      <c r="Q67" s="191">
        <f t="shared" si="6"/>
        <v>0.95760869565217366</v>
      </c>
      <c r="R67" s="573"/>
      <c r="S67" s="49">
        <v>0.19305555555555556</v>
      </c>
      <c r="T67" s="49">
        <v>0.25694444444444448</v>
      </c>
      <c r="U67" s="188">
        <f t="shared" ref="U67:U71" si="48">(S67-T66)*24*60</f>
        <v>27.000000000000025</v>
      </c>
      <c r="V67" s="198">
        <f t="shared" si="47"/>
        <v>92.000000000000028</v>
      </c>
      <c r="W67" s="25"/>
      <c r="X67" s="25"/>
      <c r="Y67" s="25"/>
      <c r="Z67" s="25"/>
      <c r="AA67" s="575"/>
      <c r="AB67" s="575"/>
      <c r="AC67" s="50"/>
      <c r="AD67" s="27"/>
      <c r="AE67" s="20">
        <f t="shared" si="43"/>
        <v>-101.73913043478342</v>
      </c>
      <c r="AF67" s="191">
        <f t="shared" si="9"/>
        <v>0.95760869565217355</v>
      </c>
      <c r="AG67" s="573"/>
    </row>
    <row r="68" spans="1:33" ht="15.75" customHeight="1">
      <c r="A68" s="578" t="s">
        <v>1032</v>
      </c>
      <c r="B68" s="199" t="s">
        <v>94</v>
      </c>
      <c r="C68" s="574" t="s">
        <v>125</v>
      </c>
      <c r="D68" s="574"/>
      <c r="E68" s="39">
        <v>19.02</v>
      </c>
      <c r="F68" s="199">
        <v>7800</v>
      </c>
      <c r="G68" s="188">
        <f t="shared" si="45"/>
        <v>148356</v>
      </c>
      <c r="H68" s="48">
        <v>2</v>
      </c>
      <c r="I68" s="197">
        <v>14</v>
      </c>
      <c r="J68" s="43">
        <v>2400</v>
      </c>
      <c r="K68" s="18">
        <f t="shared" si="1"/>
        <v>171.42857142857142</v>
      </c>
      <c r="L68" s="197">
        <v>14</v>
      </c>
      <c r="M68" s="19">
        <f t="shared" si="46"/>
        <v>2294.1176470588234</v>
      </c>
      <c r="N68" s="18">
        <f t="shared" si="3"/>
        <v>163.8655462184874</v>
      </c>
      <c r="O68" s="20">
        <f t="shared" si="4"/>
        <v>0</v>
      </c>
      <c r="P68" s="21">
        <f t="shared" si="5"/>
        <v>-7.563025210084021</v>
      </c>
      <c r="Q68" s="191">
        <f t="shared" si="6"/>
        <v>0.95588235294117652</v>
      </c>
      <c r="R68" s="573"/>
      <c r="S68" s="49">
        <v>0.26041666666666669</v>
      </c>
      <c r="T68" s="49">
        <v>0.40208333333333335</v>
      </c>
      <c r="U68" s="188">
        <f t="shared" si="48"/>
        <v>4.9999999999999822</v>
      </c>
      <c r="V68" s="198">
        <f t="shared" si="47"/>
        <v>204</v>
      </c>
      <c r="W68" s="25"/>
      <c r="X68" s="25"/>
      <c r="Y68" s="25"/>
      <c r="Z68" s="25"/>
      <c r="AA68" s="575"/>
      <c r="AB68" s="575"/>
      <c r="AC68" s="50"/>
      <c r="AD68" s="27"/>
      <c r="AE68" s="20">
        <f t="shared" si="43"/>
        <v>-105.88235294117658</v>
      </c>
      <c r="AF68" s="191">
        <f t="shared" si="9"/>
        <v>0.95588235294117641</v>
      </c>
      <c r="AG68" s="573"/>
    </row>
    <row r="69" spans="1:33" ht="15.75" customHeight="1">
      <c r="A69" s="578" t="s">
        <v>71</v>
      </c>
      <c r="B69" s="199" t="s">
        <v>94</v>
      </c>
      <c r="C69" s="574" t="s">
        <v>99</v>
      </c>
      <c r="D69" s="574"/>
      <c r="E69" s="39">
        <v>20.36</v>
      </c>
      <c r="F69" s="199">
        <v>3500</v>
      </c>
      <c r="G69" s="188">
        <f t="shared" si="45"/>
        <v>71260</v>
      </c>
      <c r="H69" s="48">
        <v>2</v>
      </c>
      <c r="I69" s="197">
        <v>18</v>
      </c>
      <c r="J69" s="43">
        <v>2400</v>
      </c>
      <c r="K69" s="18">
        <f t="shared" ref="K69:K72" si="49">J69/I69</f>
        <v>133.33333333333334</v>
      </c>
      <c r="L69" s="197">
        <v>18</v>
      </c>
      <c r="M69" s="19">
        <f t="shared" si="46"/>
        <v>2282.608695652174</v>
      </c>
      <c r="N69" s="18">
        <f t="shared" ref="N69:N72" si="50">M69/L69</f>
        <v>126.81159420289856</v>
      </c>
      <c r="O69" s="20">
        <f t="shared" ref="O69:O72" si="51">L69-I69</f>
        <v>0</v>
      </c>
      <c r="P69" s="21">
        <f t="shared" ref="P69:P72" si="52">N69-K69</f>
        <v>-6.5217391304347814</v>
      </c>
      <c r="Q69" s="191">
        <f t="shared" ref="Q69:Q72" si="53">N69/K69</f>
        <v>0.95108695652173914</v>
      </c>
      <c r="R69" s="573"/>
      <c r="S69" s="49">
        <v>0.40763888888888888</v>
      </c>
      <c r="T69" s="49">
        <v>0.47152777777777777</v>
      </c>
      <c r="U69" s="188">
        <f t="shared" si="48"/>
        <v>7.9999999999999716</v>
      </c>
      <c r="V69" s="198">
        <f t="shared" si="47"/>
        <v>92</v>
      </c>
      <c r="W69" s="25">
        <f>T69</f>
        <v>0.47152777777777777</v>
      </c>
      <c r="X69" s="25">
        <f>S70</f>
        <v>0.51180555555555551</v>
      </c>
      <c r="Y69" s="25"/>
      <c r="Z69" s="25"/>
      <c r="AA69" s="575"/>
      <c r="AB69" s="575"/>
      <c r="AC69" s="50"/>
      <c r="AD69" s="27"/>
      <c r="AE69" s="20">
        <f t="shared" si="43"/>
        <v>-117.39130434782601</v>
      </c>
      <c r="AF69" s="191">
        <f t="shared" ref="AF69:AF72" si="54">M69/J69</f>
        <v>0.95108695652173914</v>
      </c>
      <c r="AG69" s="573"/>
    </row>
    <row r="70" spans="1:33" ht="15.75" customHeight="1">
      <c r="A70" s="578" t="s">
        <v>1032</v>
      </c>
      <c r="B70" s="199" t="s">
        <v>94</v>
      </c>
      <c r="C70" s="574" t="s">
        <v>125</v>
      </c>
      <c r="D70" s="574"/>
      <c r="E70" s="39">
        <v>19.02</v>
      </c>
      <c r="F70" s="199">
        <v>4104</v>
      </c>
      <c r="G70" s="188">
        <f t="shared" si="45"/>
        <v>78058.080000000002</v>
      </c>
      <c r="H70" s="48" t="s">
        <v>126</v>
      </c>
      <c r="I70" s="197">
        <v>14</v>
      </c>
      <c r="J70" s="43">
        <v>2400</v>
      </c>
      <c r="K70" s="18">
        <f t="shared" si="49"/>
        <v>171.42857142857142</v>
      </c>
      <c r="L70" s="197">
        <v>14</v>
      </c>
      <c r="M70" s="19">
        <f t="shared" si="46"/>
        <v>2301.3084112149545</v>
      </c>
      <c r="N70" s="18">
        <f t="shared" si="50"/>
        <v>164.37917222963961</v>
      </c>
      <c r="O70" s="20">
        <f t="shared" si="51"/>
        <v>0</v>
      </c>
      <c r="P70" s="21">
        <f t="shared" si="52"/>
        <v>-7.049399198931809</v>
      </c>
      <c r="Q70" s="191">
        <f t="shared" si="53"/>
        <v>0.95887850467289781</v>
      </c>
      <c r="R70" s="573"/>
      <c r="S70" s="49">
        <v>0.51180555555555551</v>
      </c>
      <c r="T70" s="49">
        <v>0.58611111111111103</v>
      </c>
      <c r="U70" s="188">
        <f t="shared" si="48"/>
        <v>57.999999999999957</v>
      </c>
      <c r="V70" s="198">
        <f t="shared" si="47"/>
        <v>106.99999999999994</v>
      </c>
      <c r="W70" s="25"/>
      <c r="X70" s="25"/>
      <c r="Y70" s="25"/>
      <c r="Z70" s="25"/>
      <c r="AA70" s="575"/>
      <c r="AB70" s="575"/>
      <c r="AC70" s="50"/>
      <c r="AD70" s="27"/>
      <c r="AE70" s="20">
        <f t="shared" si="43"/>
        <v>-98.691588785045496</v>
      </c>
      <c r="AF70" s="191">
        <f t="shared" si="54"/>
        <v>0.9588785046728977</v>
      </c>
      <c r="AG70" s="573"/>
    </row>
    <row r="71" spans="1:33" ht="15.75" customHeight="1">
      <c r="A71" s="578" t="s">
        <v>1032</v>
      </c>
      <c r="B71" s="199" t="s">
        <v>94</v>
      </c>
      <c r="C71" s="574" t="s">
        <v>99</v>
      </c>
      <c r="D71" s="574"/>
      <c r="E71" s="39">
        <v>20.36</v>
      </c>
      <c r="F71" s="199">
        <v>2455</v>
      </c>
      <c r="G71" s="188">
        <f t="shared" si="45"/>
        <v>49983.799999999996</v>
      </c>
      <c r="H71" s="48" t="s">
        <v>126</v>
      </c>
      <c r="I71" s="197">
        <v>18</v>
      </c>
      <c r="J71" s="43">
        <v>2400</v>
      </c>
      <c r="K71" s="18">
        <f t="shared" si="49"/>
        <v>133.33333333333334</v>
      </c>
      <c r="L71" s="197">
        <v>18</v>
      </c>
      <c r="M71" s="19">
        <f t="shared" si="46"/>
        <v>2301.5625000000027</v>
      </c>
      <c r="N71" s="18">
        <f t="shared" si="50"/>
        <v>127.86458333333348</v>
      </c>
      <c r="O71" s="20">
        <f t="shared" si="51"/>
        <v>0</v>
      </c>
      <c r="P71" s="21">
        <f t="shared" si="52"/>
        <v>-5.4687499999998579</v>
      </c>
      <c r="Q71" s="191">
        <f t="shared" si="53"/>
        <v>0.95898437500000111</v>
      </c>
      <c r="R71" s="573"/>
      <c r="S71" s="49">
        <v>0.59166666666666656</v>
      </c>
      <c r="T71" s="49">
        <v>0.63611111111111096</v>
      </c>
      <c r="U71" s="188">
        <f t="shared" si="48"/>
        <v>7.9999999999999716</v>
      </c>
      <c r="V71" s="198">
        <f t="shared" si="47"/>
        <v>63.999999999999929</v>
      </c>
      <c r="W71" s="25"/>
      <c r="X71" s="25"/>
      <c r="Y71" s="25"/>
      <c r="Z71" s="25"/>
      <c r="AA71" s="575"/>
      <c r="AB71" s="575"/>
      <c r="AC71" s="50"/>
      <c r="AD71" s="27"/>
      <c r="AE71" s="20">
        <f t="shared" si="43"/>
        <v>-98.437499999997272</v>
      </c>
      <c r="AF71" s="191">
        <f t="shared" si="54"/>
        <v>0.95898437500000111</v>
      </c>
      <c r="AG71" s="573"/>
    </row>
    <row r="72" spans="1:33" ht="16.5" customHeight="1">
      <c r="A72" s="579" t="s">
        <v>71</v>
      </c>
      <c r="B72" s="39" t="s">
        <v>1028</v>
      </c>
      <c r="C72" s="570"/>
      <c r="D72" s="571"/>
      <c r="E72" s="196"/>
      <c r="F72" s="42"/>
      <c r="G72" s="18"/>
      <c r="H72" s="199"/>
      <c r="I72" s="32">
        <v>15.666666666666666</v>
      </c>
      <c r="J72" s="43">
        <v>2400</v>
      </c>
      <c r="K72" s="18">
        <f t="shared" si="49"/>
        <v>153.19148936170214</v>
      </c>
      <c r="L72" s="32">
        <v>15.666666666666666</v>
      </c>
      <c r="M72" s="19">
        <f>AVERAGE(M66:M71)</f>
        <v>2296.1061249075615</v>
      </c>
      <c r="N72" s="18">
        <f t="shared" si="50"/>
        <v>146.5599654196316</v>
      </c>
      <c r="O72" s="20">
        <f t="shared" si="51"/>
        <v>0</v>
      </c>
      <c r="P72" s="21">
        <f t="shared" si="52"/>
        <v>-6.6315239420705439</v>
      </c>
      <c r="Q72" s="191">
        <f t="shared" si="53"/>
        <v>0.95671088537815063</v>
      </c>
      <c r="R72" s="573"/>
      <c r="S72" s="49"/>
      <c r="T72" s="49"/>
      <c r="U72" s="18"/>
      <c r="V72" s="198"/>
      <c r="W72" s="18"/>
      <c r="X72" s="18"/>
      <c r="Y72" s="33">
        <f>SUM(Y66:Y71)</f>
        <v>0</v>
      </c>
      <c r="Z72" s="33">
        <f>SUM(Z66:Z71)</f>
        <v>0</v>
      </c>
      <c r="AA72" s="572"/>
      <c r="AB72" s="572"/>
      <c r="AC72" s="33">
        <v>6</v>
      </c>
      <c r="AD72" s="33">
        <f>SUM(AD66:AD71)</f>
        <v>0</v>
      </c>
      <c r="AE72" s="20">
        <f t="shared" si="43"/>
        <v>-103.89387509243852</v>
      </c>
      <c r="AF72" s="191">
        <f t="shared" si="54"/>
        <v>0.95671088537815063</v>
      </c>
      <c r="AG72" s="573"/>
    </row>
    <row r="73" spans="1:33">
      <c r="D73" s="35"/>
      <c r="E73" s="35"/>
      <c r="H73" s="124"/>
    </row>
  </sheetData>
  <mergeCells count="194">
    <mergeCell ref="AA69:AB69"/>
    <mergeCell ref="C70:D70"/>
    <mergeCell ref="AA70:AB70"/>
    <mergeCell ref="A66:A72"/>
    <mergeCell ref="C66:D66"/>
    <mergeCell ref="R66:R72"/>
    <mergeCell ref="AA66:AB66"/>
    <mergeCell ref="AG66:AG72"/>
    <mergeCell ref="C67:D67"/>
    <mergeCell ref="AA67:AB67"/>
    <mergeCell ref="C68:D68"/>
    <mergeCell ref="AA68:AB68"/>
    <mergeCell ref="C69:D69"/>
    <mergeCell ref="C71:D71"/>
    <mergeCell ref="AA71:AB71"/>
    <mergeCell ref="C72:D72"/>
    <mergeCell ref="AA72:AB72"/>
    <mergeCell ref="AG59:AG65"/>
    <mergeCell ref="C60:D60"/>
    <mergeCell ref="AA60:AB60"/>
    <mergeCell ref="C61:D61"/>
    <mergeCell ref="AA61:AB61"/>
    <mergeCell ref="C62:D62"/>
    <mergeCell ref="AG51:AG58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A62:AB62"/>
    <mergeCell ref="C63:D63"/>
    <mergeCell ref="AA63:AB63"/>
    <mergeCell ref="C64:D64"/>
    <mergeCell ref="AA64:AB64"/>
    <mergeCell ref="C65:D65"/>
    <mergeCell ref="AA65:AB65"/>
    <mergeCell ref="C50:D50"/>
    <mergeCell ref="AA50:AB50"/>
    <mergeCell ref="A51:A58"/>
    <mergeCell ref="C51:D51"/>
    <mergeCell ref="R51:R58"/>
    <mergeCell ref="AA51:AB51"/>
    <mergeCell ref="A59:A65"/>
    <mergeCell ref="C59:D59"/>
    <mergeCell ref="R59:R65"/>
    <mergeCell ref="AA59:AB59"/>
    <mergeCell ref="AA57:AB57"/>
    <mergeCell ref="C58:D58"/>
    <mergeCell ref="AA58:AB58"/>
    <mergeCell ref="A46:A50"/>
    <mergeCell ref="C46:D46"/>
    <mergeCell ref="R46:R50"/>
    <mergeCell ref="AA46:AB46"/>
    <mergeCell ref="AG37:AG45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A45:AB45"/>
    <mergeCell ref="AG46:AG50"/>
    <mergeCell ref="C47:D47"/>
    <mergeCell ref="AA47:AB47"/>
    <mergeCell ref="C48:D48"/>
    <mergeCell ref="AA48:AB48"/>
    <mergeCell ref="C49:D49"/>
    <mergeCell ref="AA49:AB49"/>
    <mergeCell ref="A27:A36"/>
    <mergeCell ref="C27:D27"/>
    <mergeCell ref="R27:R36"/>
    <mergeCell ref="AA27:AB27"/>
    <mergeCell ref="C35:D35"/>
    <mergeCell ref="C36:D36"/>
    <mergeCell ref="AA36:AB36"/>
    <mergeCell ref="A37:A45"/>
    <mergeCell ref="C37:D37"/>
    <mergeCell ref="R37:R45"/>
    <mergeCell ref="AA37:AB37"/>
    <mergeCell ref="AA42:AB42"/>
    <mergeCell ref="C43:D43"/>
    <mergeCell ref="AA43:AB43"/>
    <mergeCell ref="C44:D44"/>
    <mergeCell ref="AA44:AB44"/>
    <mergeCell ref="C45:D45"/>
    <mergeCell ref="AG27:AG36"/>
    <mergeCell ref="C28:D28"/>
    <mergeCell ref="AA28:AB28"/>
    <mergeCell ref="C29:D29"/>
    <mergeCell ref="AA29:AB29"/>
    <mergeCell ref="C30:D30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30:AB30"/>
    <mergeCell ref="C31:D31"/>
    <mergeCell ref="AA31:AB31"/>
    <mergeCell ref="C32:D32"/>
    <mergeCell ref="AA32:AB32"/>
    <mergeCell ref="C33:D33"/>
    <mergeCell ref="AA33:AB33"/>
    <mergeCell ref="A20:A26"/>
    <mergeCell ref="C20:D20"/>
    <mergeCell ref="R20:R26"/>
    <mergeCell ref="AA20:AB20"/>
    <mergeCell ref="AA25:AB25"/>
    <mergeCell ref="C26:D26"/>
    <mergeCell ref="AA26:AB26"/>
    <mergeCell ref="A15:A19"/>
    <mergeCell ref="C15:D15"/>
    <mergeCell ref="R15:R19"/>
    <mergeCell ref="AA15:AB15"/>
    <mergeCell ref="AG15:AG19"/>
    <mergeCell ref="C16:D16"/>
    <mergeCell ref="AA16:AB16"/>
    <mergeCell ref="C17:D17"/>
    <mergeCell ref="AA17:AB17"/>
    <mergeCell ref="C18:D18"/>
    <mergeCell ref="AG11:AG14"/>
    <mergeCell ref="C12:D12"/>
    <mergeCell ref="AA12:AB12"/>
    <mergeCell ref="C13:D13"/>
    <mergeCell ref="AA13:AB13"/>
    <mergeCell ref="C14:D14"/>
    <mergeCell ref="AA14:AB14"/>
    <mergeCell ref="AA18:AB18"/>
    <mergeCell ref="C19:D19"/>
    <mergeCell ref="AA19:AB19"/>
    <mergeCell ref="A11:A14"/>
    <mergeCell ref="C11:D11"/>
    <mergeCell ref="R11:R14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8:O59 O62:O72 O5:O11 O14:O16 O19:O34 O36:O56">
    <cfRule type="cellIs" dxfId="635" priority="41" operator="greaterThan">
      <formula>0</formula>
    </cfRule>
  </conditionalFormatting>
  <conditionalFormatting sqref="P5:P9 P62:P64 AE62:AE64 P66:P71 P27:P34 P59 P11 P14:P16 P20:P25 P51:P56 P37:P49 AE5:AE59 AE66:AE72">
    <cfRule type="cellIs" dxfId="634" priority="45" operator="lessThan">
      <formula>0</formula>
    </cfRule>
  </conditionalFormatting>
  <conditionalFormatting sqref="AF62:AF64 Q58:Q59 Q62:Q72 Q5:Q11 Q14:Q16 Q19:Q34 Q36:Q56 AF5:AF59 AF66:AF72">
    <cfRule type="cellIs" dxfId="633" priority="42" operator="greaterThan">
      <formula>1</formula>
    </cfRule>
    <cfRule type="cellIs" dxfId="632" priority="43" operator="lessThan">
      <formula>0.8</formula>
    </cfRule>
  </conditionalFormatting>
  <conditionalFormatting sqref="AG15:AG16 R15:R16 AG62 AG19:AG34 R19:R34 AG58:AG59 R58:R59 R62:R72 AG5:AG11 R5:R11 R36:R56 AG36:AG56">
    <cfRule type="cellIs" dxfId="631" priority="47" operator="lessThan">
      <formula>0.8</formula>
    </cfRule>
  </conditionalFormatting>
  <conditionalFormatting sqref="AG46">
    <cfRule type="cellIs" dxfId="630" priority="49" operator="lessThan">
      <formula>0.8</formula>
    </cfRule>
  </conditionalFormatting>
  <conditionalFormatting sqref="AG20:AG25">
    <cfRule type="cellIs" dxfId="629" priority="46" operator="lessThan">
      <formula>0.8</formula>
    </cfRule>
  </conditionalFormatting>
  <conditionalFormatting sqref="AG27">
    <cfRule type="cellIs" dxfId="628" priority="48" operator="lessThan">
      <formula>0.8</formula>
    </cfRule>
  </conditionalFormatting>
  <conditionalFormatting sqref="AG37:AG44">
    <cfRule type="cellIs" dxfId="627" priority="44" operator="lessThan">
      <formula>0.8</formula>
    </cfRule>
  </conditionalFormatting>
  <conditionalFormatting sqref="AE65">
    <cfRule type="cellIs" dxfId="626" priority="40" operator="lessThan">
      <formula>0</formula>
    </cfRule>
  </conditionalFormatting>
  <conditionalFormatting sqref="AF65">
    <cfRule type="cellIs" dxfId="625" priority="38" operator="greaterThan">
      <formula>1</formula>
    </cfRule>
    <cfRule type="cellIs" dxfId="624" priority="39" operator="lessThan">
      <formula>0.8</formula>
    </cfRule>
  </conditionalFormatting>
  <conditionalFormatting sqref="O17:O18">
    <cfRule type="cellIs" dxfId="623" priority="33" operator="greaterThan">
      <formula>0</formula>
    </cfRule>
  </conditionalFormatting>
  <conditionalFormatting sqref="P17:P18">
    <cfRule type="cellIs" dxfId="622" priority="36" operator="lessThan">
      <formula>0</formula>
    </cfRule>
  </conditionalFormatting>
  <conditionalFormatting sqref="Q17:Q18">
    <cfRule type="cellIs" dxfId="621" priority="34" operator="greaterThan">
      <formula>1</formula>
    </cfRule>
    <cfRule type="cellIs" dxfId="620" priority="35" operator="lessThan">
      <formula>0.8</formula>
    </cfRule>
  </conditionalFormatting>
  <conditionalFormatting sqref="R17:R18 AG17:AG18">
    <cfRule type="cellIs" dxfId="619" priority="37" operator="lessThan">
      <formula>0.8</formula>
    </cfRule>
  </conditionalFormatting>
  <conditionalFormatting sqref="O12:O13">
    <cfRule type="cellIs" dxfId="618" priority="29" operator="greaterThan">
      <formula>0</formula>
    </cfRule>
  </conditionalFormatting>
  <conditionalFormatting sqref="P12:P13">
    <cfRule type="cellIs" dxfId="617" priority="32" operator="lessThan">
      <formula>0</formula>
    </cfRule>
  </conditionalFormatting>
  <conditionalFormatting sqref="Q12:Q13">
    <cfRule type="cellIs" dxfId="616" priority="30" operator="greaterThan">
      <formula>1</formula>
    </cfRule>
    <cfRule type="cellIs" dxfId="615" priority="31" operator="lessThan">
      <formula>0.8</formula>
    </cfRule>
  </conditionalFormatting>
  <conditionalFormatting sqref="O57">
    <cfRule type="cellIs" dxfId="614" priority="24" operator="greaterThan">
      <formula>0</formula>
    </cfRule>
  </conditionalFormatting>
  <conditionalFormatting sqref="P57">
    <cfRule type="cellIs" dxfId="613" priority="27" operator="lessThan">
      <formula>0</formula>
    </cfRule>
  </conditionalFormatting>
  <conditionalFormatting sqref="Q57">
    <cfRule type="cellIs" dxfId="612" priority="25" operator="greaterThan">
      <formula>1</formula>
    </cfRule>
    <cfRule type="cellIs" dxfId="611" priority="26" operator="lessThan">
      <formula>0.8</formula>
    </cfRule>
  </conditionalFormatting>
  <conditionalFormatting sqref="R57 AG57">
    <cfRule type="cellIs" dxfId="610" priority="28" operator="lessThan">
      <formula>0.8</formula>
    </cfRule>
  </conditionalFormatting>
  <conditionalFormatting sqref="O61">
    <cfRule type="cellIs" dxfId="609" priority="19" operator="greaterThan">
      <formula>0</formula>
    </cfRule>
  </conditionalFormatting>
  <conditionalFormatting sqref="P61 AE61">
    <cfRule type="cellIs" dxfId="608" priority="22" operator="lessThan">
      <formula>0</formula>
    </cfRule>
  </conditionalFormatting>
  <conditionalFormatting sqref="Q61 AF61">
    <cfRule type="cellIs" dxfId="607" priority="20" operator="greaterThan">
      <formula>1</formula>
    </cfRule>
    <cfRule type="cellIs" dxfId="606" priority="21" operator="lessThan">
      <formula>0.8</formula>
    </cfRule>
  </conditionalFormatting>
  <conditionalFormatting sqref="R61 AG61">
    <cfRule type="cellIs" dxfId="605" priority="23" operator="lessThan">
      <formula>0.8</formula>
    </cfRule>
  </conditionalFormatting>
  <conditionalFormatting sqref="O35">
    <cfRule type="cellIs" dxfId="604" priority="14" operator="greaterThan">
      <formula>0</formula>
    </cfRule>
  </conditionalFormatting>
  <conditionalFormatting sqref="P35">
    <cfRule type="cellIs" dxfId="603" priority="17" operator="lessThan">
      <formula>0</formula>
    </cfRule>
  </conditionalFormatting>
  <conditionalFormatting sqref="Q35">
    <cfRule type="cellIs" dxfId="602" priority="15" operator="greaterThan">
      <formula>1</formula>
    </cfRule>
    <cfRule type="cellIs" dxfId="601" priority="16" operator="lessThan">
      <formula>0.8</formula>
    </cfRule>
  </conditionalFormatting>
  <conditionalFormatting sqref="R35 AG35">
    <cfRule type="cellIs" dxfId="600" priority="18" operator="lessThan">
      <formula>0.8</formula>
    </cfRule>
  </conditionalFormatting>
  <conditionalFormatting sqref="O60">
    <cfRule type="cellIs" dxfId="599" priority="9" operator="greaterThan">
      <formula>0</formula>
    </cfRule>
  </conditionalFormatting>
  <conditionalFormatting sqref="P60 AE60">
    <cfRule type="cellIs" dxfId="598" priority="12" operator="lessThan">
      <formula>0</formula>
    </cfRule>
  </conditionalFormatting>
  <conditionalFormatting sqref="Q60 AF60">
    <cfRule type="cellIs" dxfId="597" priority="10" operator="greaterThan">
      <formula>1</formula>
    </cfRule>
    <cfRule type="cellIs" dxfId="596" priority="11" operator="lessThan">
      <formula>0.8</formula>
    </cfRule>
  </conditionalFormatting>
  <conditionalFormatting sqref="R60 AG60">
    <cfRule type="cellIs" dxfId="595" priority="13" operator="lessThan">
      <formula>0.8</formula>
    </cfRule>
  </conditionalFormatting>
  <conditionalFormatting sqref="P10">
    <cfRule type="cellIs" dxfId="594" priority="8" operator="lessThan">
      <formula>0</formula>
    </cfRule>
  </conditionalFormatting>
  <conditionalFormatting sqref="P19">
    <cfRule type="cellIs" dxfId="593" priority="7" operator="lessThan">
      <formula>0</formula>
    </cfRule>
  </conditionalFormatting>
  <conditionalFormatting sqref="P26">
    <cfRule type="cellIs" dxfId="592" priority="6" operator="lessThan">
      <formula>0</formula>
    </cfRule>
  </conditionalFormatting>
  <conditionalFormatting sqref="P36">
    <cfRule type="cellIs" dxfId="591" priority="5" operator="lessThan">
      <formula>0</formula>
    </cfRule>
  </conditionalFormatting>
  <conditionalFormatting sqref="P50">
    <cfRule type="cellIs" dxfId="590" priority="4" operator="lessThan">
      <formula>0</formula>
    </cfRule>
  </conditionalFormatting>
  <conditionalFormatting sqref="P58">
    <cfRule type="cellIs" dxfId="589" priority="3" operator="lessThan">
      <formula>0</formula>
    </cfRule>
  </conditionalFormatting>
  <conditionalFormatting sqref="P65">
    <cfRule type="cellIs" dxfId="588" priority="2" operator="lessThan">
      <formula>0</formula>
    </cfRule>
  </conditionalFormatting>
  <conditionalFormatting sqref="P72">
    <cfRule type="cellIs" dxfId="587" priority="1" operator="lessThan">
      <formula>0</formula>
    </cfRule>
  </conditionalFormatting>
  <dataValidations count="1">
    <dataValidation type="list" allowBlank="1" showInputMessage="1" showErrorMessage="1" sqref="AB10 AA5:AB9 AB63:AB64 AB12:AB59 AA10:AA64 AA65:AB7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6" zoomScale="85" zoomScaleNormal="85" workbookViewId="0">
      <selection activeCell="I7" sqref="I7:J7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1033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1034</v>
      </c>
      <c r="C3" s="555" t="str">
        <f>TEXT('0510 4度C'!A2,"yyyy.mm.ddaaaa")</f>
        <v>2026.05.10星期日</v>
      </c>
      <c r="D3" s="556"/>
      <c r="E3" s="54" t="s">
        <v>1035</v>
      </c>
      <c r="F3" s="557">
        <f>'0510 4度C'!D1</f>
        <v>203736</v>
      </c>
      <c r="G3" s="558"/>
      <c r="H3" s="54" t="s">
        <v>130</v>
      </c>
      <c r="I3" s="559">
        <f>'0510 4度C'!F1</f>
        <v>6836681.2800000003</v>
      </c>
      <c r="J3" s="560"/>
      <c r="K3" s="55"/>
      <c r="L3" s="56"/>
      <c r="M3" s="57"/>
      <c r="N3" s="57"/>
    </row>
    <row r="4" spans="2:17" ht="28.5" customHeight="1">
      <c r="B4" s="561" t="s">
        <v>1036</v>
      </c>
      <c r="C4" s="547" t="s">
        <v>1037</v>
      </c>
      <c r="D4" s="548"/>
      <c r="E4" s="564" t="s">
        <v>1038</v>
      </c>
      <c r="F4" s="565"/>
      <c r="G4" s="564" t="s">
        <v>1039</v>
      </c>
      <c r="H4" s="565"/>
      <c r="I4" s="564" t="s">
        <v>1040</v>
      </c>
      <c r="J4" s="565"/>
      <c r="K4" s="545" t="s">
        <v>1041</v>
      </c>
      <c r="L4" s="546"/>
      <c r="M4" s="546" t="s">
        <v>201</v>
      </c>
      <c r="N4" s="546"/>
    </row>
    <row r="5" spans="2:17" ht="28.5" customHeight="1">
      <c r="B5" s="562"/>
      <c r="C5" s="547" t="s">
        <v>1042</v>
      </c>
      <c r="D5" s="548"/>
      <c r="E5" s="547" t="s">
        <v>1043</v>
      </c>
      <c r="F5" s="548"/>
      <c r="G5" s="549" t="s">
        <v>1044</v>
      </c>
      <c r="H5" s="550"/>
      <c r="I5" s="551" t="s">
        <v>1045</v>
      </c>
      <c r="J5" s="552"/>
      <c r="K5" s="58" t="s">
        <v>1046</v>
      </c>
      <c r="L5" s="59" t="s">
        <v>1047</v>
      </c>
      <c r="M5" s="58" t="s">
        <v>1048</v>
      </c>
      <c r="N5" s="59" t="s">
        <v>1049</v>
      </c>
    </row>
    <row r="6" spans="2:17" ht="28.5" customHeight="1">
      <c r="B6" s="562"/>
      <c r="C6" s="547" t="s">
        <v>145</v>
      </c>
      <c r="D6" s="548"/>
      <c r="E6" s="539">
        <f>AVERAGE(D13:M13)</f>
        <v>153.05708415830574</v>
      </c>
      <c r="F6" s="540">
        <f>AVERAGE(D31:O31,D13:J13)</f>
        <v>159.38969806576318</v>
      </c>
      <c r="G6" s="541">
        <f>AVERAGE(D13:J13)</f>
        <v>159.38969806576318</v>
      </c>
      <c r="H6" s="542"/>
      <c r="I6" s="541">
        <f>AVERAGE(K13:M13)</f>
        <v>138.28098504090511</v>
      </c>
      <c r="J6" s="542"/>
      <c r="K6" s="543">
        <f>'0510 4度C'!Y2</f>
        <v>0</v>
      </c>
      <c r="L6" s="528">
        <f>'0510 4度C'!Z2</f>
        <v>0</v>
      </c>
      <c r="M6" s="544">
        <f>'0510 4度C'!AC2</f>
        <v>59</v>
      </c>
      <c r="N6" s="528">
        <f>'0510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146.55463682098755</v>
      </c>
      <c r="F7" s="532">
        <f>AVERAGE(D32:O32,D14:J14)</f>
        <v>152.74953983002339</v>
      </c>
      <c r="G7" s="533">
        <f>AVERAGE(D14:J14)</f>
        <v>152.74953983002339</v>
      </c>
      <c r="H7" s="534"/>
      <c r="I7" s="533">
        <f>AVERAGE(K14:M14)</f>
        <v>132.09986313323728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0.95769423167846557</v>
      </c>
      <c r="F8" s="536">
        <f>AVERAGE(D15:J15,D33:O33)</f>
        <v>0.95876939557962615</v>
      </c>
      <c r="G8" s="537">
        <f>AVERAGE(D15:J15)</f>
        <v>0.95876939557962615</v>
      </c>
      <c r="H8" s="538"/>
      <c r="I8" s="537">
        <f>AVERAGE(K15:M15)</f>
        <v>0.95518551590909129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311</v>
      </c>
      <c r="N9" s="57"/>
      <c r="O9" s="57"/>
      <c r="P9" s="57"/>
      <c r="Q9" s="57"/>
    </row>
    <row r="10" spans="2:17" ht="30" customHeight="1">
      <c r="B10" s="511" t="s">
        <v>149</v>
      </c>
      <c r="C10" s="512"/>
      <c r="D10" s="513" t="s">
        <v>313</v>
      </c>
      <c r="E10" s="514"/>
      <c r="F10" s="514"/>
      <c r="G10" s="514"/>
      <c r="H10" s="514"/>
      <c r="I10" s="514"/>
      <c r="J10" s="515"/>
      <c r="K10" s="516" t="s">
        <v>1050</v>
      </c>
      <c r="L10" s="517"/>
      <c r="M10" s="518"/>
      <c r="P10" s="63"/>
      <c r="Q10" s="63"/>
    </row>
    <row r="11" spans="2:17" ht="17.25" customHeight="1">
      <c r="B11" s="519" t="s">
        <v>152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13</v>
      </c>
      <c r="C13" s="70" t="s">
        <v>213</v>
      </c>
      <c r="D13" s="71">
        <f>SUMIFS('0510 4度C'!$K:$K,'0510 4度C'!$A:$A,"新豐6線",'0510 4度C'!$B:$B,"平均")</f>
        <v>120.48192771084337</v>
      </c>
      <c r="E13" s="72">
        <f>SUMIFS('0510 4度C'!$K:$K,'0510 4度C'!$A:$A,"新豐2線",'0510 4度C'!$B:$B,"平均")</f>
        <v>84.905660377358487</v>
      </c>
      <c r="F13" s="73">
        <f>SUMIFS('0510 4度C'!$K:$K,'0510 4度C'!$A:$A,"新豐5線",'0510 4度C'!$B:$B,"平均")</f>
        <v>109.25925925925927</v>
      </c>
      <c r="G13" s="73">
        <f>SUMIFS('0510 4度C'!$K:$K,'0510 4度C'!$A:$A,"新豐7線",'0510 4度C'!$B:$B,"平均")</f>
        <v>125</v>
      </c>
      <c r="H13" s="73">
        <f>SUMIFS('0510 4度C'!$K:$K,'0510 4度C'!$A:$A,"新豐3線",'0510 4度C'!$B:$B,"平均")</f>
        <v>255.81395348837211</v>
      </c>
      <c r="I13" s="73">
        <f>SUMIFS('0510 4度C'!$K:$K,'0510 4度C'!$A:$A,"新豐1線",'0510 4度C'!$B:$B,"平均")</f>
        <v>104.47761194029852</v>
      </c>
      <c r="J13" s="74">
        <f>SUMIFS('0510 4度C'!$K:$K,'0510 4度C'!$A:$A,"新豐10線",'0510 4度C'!$B:$B,"平均")</f>
        <v>315.78947368421052</v>
      </c>
      <c r="K13" s="75">
        <f>SUMIFS('0510 4度C'!$K:$K,'0510 4度C'!$A:$A,"新豐8線",'0510 4度C'!$B:$B,"平均")</f>
        <v>143.58974358974359</v>
      </c>
      <c r="L13" s="76">
        <f>SUMIFS('0510 4度C'!$K:$K,'0510 4度C'!$A:$A,"新豐9線",'0510 4度C'!$B:$B,"平均")</f>
        <v>122.58064516129032</v>
      </c>
      <c r="M13" s="74">
        <f>SUMIFS('0510 4度C'!$K:$K,'0510 4度C'!$A:$A,"新豐4線",'0510 4度C'!$B:$B,"平均")</f>
        <v>148.67256637168143</v>
      </c>
    </row>
    <row r="14" spans="2:17" ht="39.6" customHeight="1">
      <c r="B14" s="524"/>
      <c r="C14" s="77" t="s">
        <v>318</v>
      </c>
      <c r="D14" s="78">
        <f>SUMIFS('0510 4度C'!$N:$N,'0510 4度C'!$A:$A,"新豐6線",'0510 4度C'!$B:$B,"平均")</f>
        <v>116.43888802459949</v>
      </c>
      <c r="E14" s="79">
        <f>SUMIFS('0510 4度C'!$N:$N,'0510 4度C'!$A:$A,"新豐2線",'0510 4度C'!$B:$B,"平均")</f>
        <v>80.848145608910855</v>
      </c>
      <c r="F14" s="79">
        <f>SUMIFS('0510 4度C'!$N:$N,'0510 4度C'!$A:$A,"新豐5線",'0510 4度C'!$B:$B,"平均")</f>
        <v>104.7821923573615</v>
      </c>
      <c r="G14" s="79">
        <f>SUMIFS('0510 4度C'!$N:$N,'0510 4度C'!$A:$A,"新豐7線",'0510 4度C'!$B:$B,"平均")</f>
        <v>120.02791130349711</v>
      </c>
      <c r="H14" s="79">
        <f>SUMIFS('0510 4度C'!$N:$N,'0510 4度C'!$A:$A,"新豐3線",'0510 4度C'!$B:$B,"平均")</f>
        <v>243.91471578600846</v>
      </c>
      <c r="I14" s="79">
        <f>SUMIFS('0510 4度C'!$N:$N,'0510 4度C'!$A:$A,"新豐1線",'0510 4度C'!$B:$B,"平均")</f>
        <v>100.40800472674363</v>
      </c>
      <c r="J14" s="80">
        <f>SUMIFS('0510 4度C'!$N:$N,'0510 4度C'!$A:$A,"新豐10線",'0510 4度C'!$B:$B,"平均")</f>
        <v>302.82692100304257</v>
      </c>
      <c r="K14" s="81">
        <f>SUMIFS('0510 4度C'!$N:$N,'0510 4度C'!$A:$A,"新豐8線",'0510 4度C'!$B:$B,"平均")</f>
        <v>137.35739633598575</v>
      </c>
      <c r="L14" s="82">
        <f>SUMIFS('0510 4度C'!$N:$N,'0510 4度C'!$A:$A,"新豐9線",'0510 4度C'!$B:$B,"平均")</f>
        <v>116.82991131691357</v>
      </c>
      <c r="M14" s="80">
        <f>SUMIFS('0510 4度C'!$N:$N,'0510 4度C'!$A:$A,"新豐4線",'0510 4度C'!$B:$B,"平均")</f>
        <v>142.11228174681256</v>
      </c>
    </row>
    <row r="15" spans="2:17" ht="40.15" customHeight="1">
      <c r="B15" s="525"/>
      <c r="C15" s="83" t="s">
        <v>166</v>
      </c>
      <c r="D15" s="84">
        <f t="shared" ref="D15:M15" si="0">D14/D13</f>
        <v>0.96644277060417583</v>
      </c>
      <c r="E15" s="85">
        <f t="shared" si="0"/>
        <v>0.95221149272717232</v>
      </c>
      <c r="F15" s="85">
        <f t="shared" si="0"/>
        <v>0.95902345547415602</v>
      </c>
      <c r="G15" s="85">
        <f t="shared" si="0"/>
        <v>0.96022329042797683</v>
      </c>
      <c r="H15" s="85">
        <f t="shared" si="0"/>
        <v>0.95348479807257847</v>
      </c>
      <c r="I15" s="85">
        <f t="shared" si="0"/>
        <v>0.96104804524168896</v>
      </c>
      <c r="J15" s="86">
        <f t="shared" si="0"/>
        <v>0.95895191650963485</v>
      </c>
      <c r="K15" s="84">
        <f t="shared" si="0"/>
        <v>0.95659615305418655</v>
      </c>
      <c r="L15" s="85">
        <f t="shared" si="0"/>
        <v>0.9530861186379791</v>
      </c>
      <c r="M15" s="86">
        <f t="shared" si="0"/>
        <v>0.95587427603510822</v>
      </c>
    </row>
    <row r="16" spans="2:17" ht="17.25" customHeight="1">
      <c r="B16" s="526" t="s">
        <v>1051</v>
      </c>
      <c r="C16" s="87" t="s">
        <v>1052</v>
      </c>
      <c r="D16" s="88">
        <f>VLOOKUP("新豐6線",'0510 4度C'!$A:$T,19,0)</f>
        <v>0.70833333333333337</v>
      </c>
      <c r="E16" s="89">
        <f>VLOOKUP("新豐2線",'0510 4度C'!$A:$T,19,0)</f>
        <v>0.20833333333333334</v>
      </c>
      <c r="F16" s="89">
        <f>VLOOKUP("新豐5線",'0510 4度C'!$A:$T,19,0)</f>
        <v>0.20833333333333334</v>
      </c>
      <c r="G16" s="89">
        <f>VLOOKUP("新豐7線",'0510 4度C'!$A:$T,19,0)</f>
        <v>0.20833333333333334</v>
      </c>
      <c r="H16" s="89">
        <f>VLOOKUP("新豐3線",'0510 4度C'!$A:$T,19,0)</f>
        <v>8.3333333333333329E-2</v>
      </c>
      <c r="I16" s="89">
        <f>VLOOKUP("新豐1線",'0510 4度C'!$A:$T,19,0)</f>
        <v>0.20833333333333334</v>
      </c>
      <c r="J16" s="90">
        <f>VLOOKUP("新豐10線",'0510 4度C'!$A:$T,19,0)</f>
        <v>0.20833333333333334</v>
      </c>
      <c r="K16" s="91">
        <f>VLOOKUP("新豐8線",'0510 4度C'!$A:$T,19,0)</f>
        <v>8.3333333333333329E-2</v>
      </c>
      <c r="L16" s="92">
        <f>VLOOKUP("新豐9線",'0510 4度C'!$A:$T,19,0)</f>
        <v>8.3333333333333329E-2</v>
      </c>
      <c r="M16" s="93">
        <f>VLOOKUP("新豐4線",'0510 4度C'!$A:$T,19,0)</f>
        <v>8.3333333333333329E-2</v>
      </c>
    </row>
    <row r="17" spans="2:13" ht="17.25" customHeight="1">
      <c r="B17" s="527"/>
      <c r="C17" s="87" t="s">
        <v>1053</v>
      </c>
      <c r="D17" s="91">
        <f>LOOKUP(2,1/(('0510 4度C'!$A:$A="新豐6線")*('0510 4度C'!$T:$T&lt;&gt;"")),'0510 4度C'!$T:$T)</f>
        <v>0.90486111111111112</v>
      </c>
      <c r="E17" s="89">
        <f>LOOKUP(2,1/(('0510 4度C'!$A:$A="新豐2線")*('0510 4度C'!$T:$T&lt;&gt;"")),'0510 4度C'!$T:$T)</f>
        <v>0.66944444444444429</v>
      </c>
      <c r="F17" s="89">
        <f>LOOKUP(2,1/(('0510 4度C'!$A:$A="新豐5線")*('0510 4度C'!$T:$T&lt;&gt;"")),'0510 4度C'!$T:$T)</f>
        <v>0.83402777777777781</v>
      </c>
      <c r="G17" s="89">
        <f>LOOKUP(2,1/(('0510 4度C'!$A:$A="新豐7線")*('0510 4度C'!$T:$T&lt;&gt;"")),'0510 4度C'!$T:$T)</f>
        <v>0.84097222222222223</v>
      </c>
      <c r="H17" s="89">
        <f>LOOKUP(2,1/(('0510 4度C'!$A:$A="新豐3線")*('0510 4度C'!$T:$T&lt;&gt;"")),'0510 4度C'!$T:$T)</f>
        <v>0.49513888888888885</v>
      </c>
      <c r="I17" s="89">
        <f>LOOKUP(2,1/(('0510 4度C'!$A:$A="新豐1線")*('0510 4度C'!$T:$T&lt;&gt;"")),'0510 4度C'!$T:$T)</f>
        <v>0.83125000000000004</v>
      </c>
      <c r="J17" s="90">
        <f>LOOKUP(2,1/(('0510 4度C'!$A:$A="新豐10線")*('0510 4度C'!$T:$T&lt;&gt;"")),'0510 4度C'!$T:$T)</f>
        <v>0.43194444444444441</v>
      </c>
      <c r="K17" s="88">
        <f>LOOKUP(2,1/(('0510 4度C'!$A:$A="新豐8線")*('0510 4度C'!$T:$T&lt;&gt;"")),'0510 4度C'!$T:$T)</f>
        <v>0.70902777777777759</v>
      </c>
      <c r="L17" s="89">
        <f>LOOKUP(2,1/(('0510 4度C'!$A:$A="新豐9線")*('0510 4度C'!$T:$T&lt;&gt;"")),'0510 4度C'!$T:$T)</f>
        <v>0.78055555555555545</v>
      </c>
      <c r="M17" s="90">
        <f>LOOKUP(2,1/(('0510 4度C'!$A:$A="新豐4線")*('0510 4度C'!$T:$T&lt;&gt;"")),'0510 4度C'!$T:$T)</f>
        <v>0.7680555555555556</v>
      </c>
    </row>
    <row r="18" spans="2:13" ht="17.25" customHeight="1">
      <c r="B18" s="505" t="s">
        <v>1054</v>
      </c>
      <c r="C18" s="94" t="s">
        <v>1055</v>
      </c>
      <c r="D18" s="95">
        <f>SUMIFS('0510 4度C'!$Y:$Y,'0510 4度C'!$A:$A,"新豐6線",'0510 4度C'!$B:$B,"平均")</f>
        <v>0</v>
      </c>
      <c r="E18" s="96">
        <f>SUMIFS('0510 4度C'!$Y:$Y,'0510 4度C'!$A:$A,"新豐2線",'0510 4度C'!$B:$B,"平均")</f>
        <v>0</v>
      </c>
      <c r="F18" s="96">
        <f>SUMIFS('0510 4度C'!$Y:$Y,'0510 4度C'!$A:$A,"新豐5線",'0510 4度C'!$B:$B,"平均")</f>
        <v>0</v>
      </c>
      <c r="G18" s="96">
        <f>SUMIFS('0510 4度C'!$Y:$Y,'0510 4度C'!$A:$A,"新豐7線",'0510 4度C'!$B:$B,"平均")</f>
        <v>0</v>
      </c>
      <c r="H18" s="96">
        <f>SUMIFS('0510 4度C'!$Y:$Y,'0510 4度C'!$A:$A,"新豐3線",'0510 4度C'!$B:$B,"平均")</f>
        <v>0</v>
      </c>
      <c r="I18" s="96">
        <f>SUMIFS('0510 4度C'!$Y:$Y,'0510 4度C'!$A:$A,"新豐1線",'0510 4度C'!$B:$B,"平均")</f>
        <v>0</v>
      </c>
      <c r="J18" s="97">
        <f>SUMIFS('0510 4度C'!$Y:$Y,'0510 4度C'!$A:$A,"新豐10線",'0510 4度C'!$B:$B,"平均")</f>
        <v>0</v>
      </c>
      <c r="K18" s="98">
        <f>SUMIFS('0510 4度C'!$Y:$Y,'0510 4度C'!$A:$A,"新豐8線",'0510 4度C'!$B:$B,"平均")</f>
        <v>0</v>
      </c>
      <c r="L18" s="96">
        <f>SUMIFS('0510 4度C'!$Y:$Y,'0510 4度C'!$A:$A,"新豐9線",'0510 4度C'!$B:$B,"平均")</f>
        <v>0</v>
      </c>
      <c r="M18" s="97">
        <f>SUMIFS('0510 4度C'!$Y:$Y,'0510 4度C'!$A:$A,"新豐4線",'0510 4度C'!$B:$B,"平均")</f>
        <v>0</v>
      </c>
    </row>
    <row r="19" spans="2:13" ht="17.25" customHeight="1">
      <c r="B19" s="506"/>
      <c r="C19" s="94" t="s">
        <v>1056</v>
      </c>
      <c r="D19" s="95">
        <f>SUMIFS('0510 4度C'!$Z:$Z,'0510 4度C'!$A:$A,"新豐6線",'0510 4度C'!$B:$B,"平均")</f>
        <v>0</v>
      </c>
      <c r="E19" s="96">
        <f>SUMIFS('0510 4度C'!$Z:$Z,'0510 4度C'!$A:$A,"新豐2線",'0510 4度C'!$B:$B,"平均")</f>
        <v>0</v>
      </c>
      <c r="F19" s="96">
        <f>SUMIFS('0510 4度C'!$Z:$Z,'0510 4度C'!$A:$A,"新豐5線",'0510 4度C'!$B:$B,"平均")</f>
        <v>0</v>
      </c>
      <c r="G19" s="96">
        <f>SUMIFS('0510 4度C'!$Z:$Z,'0510 4度C'!$A:$A,"新豐7線",'0510 4度C'!$B:$B,"平均")</f>
        <v>0</v>
      </c>
      <c r="H19" s="96">
        <f>SUMIFS('0510 4度C'!$Z:$Z,'0510 4度C'!$A:$A,"新豐3線",'0510 4度C'!$B:$B,"平均")</f>
        <v>0</v>
      </c>
      <c r="I19" s="96">
        <f>SUMIFS('0510 4度C'!$Z:$Z,'0510 4度C'!$A:$A,"新豐1線",'0510 4度C'!$B:$B,"平均")</f>
        <v>0</v>
      </c>
      <c r="J19" s="97">
        <f>SUMIFS('0510 4度C'!$Z:$Z,'0510 4度C'!$A:$A,"新豐10線",'0510 4度C'!$B:$B,"平均")</f>
        <v>0</v>
      </c>
      <c r="K19" s="98">
        <f>SUMIFS('0510 4度C'!$Z:$Z,'0510 4度C'!$A:$A,"新豐8線",'0510 4度C'!$B:$B,"平均")</f>
        <v>0</v>
      </c>
      <c r="L19" s="96">
        <f>SUMIFS('0510 4度C'!$Z:$Z,'0510 4度C'!$A:$A,"新豐9線",'0510 4度C'!$B:$B,"平均")</f>
        <v>0</v>
      </c>
      <c r="M19" s="97">
        <f>SUMIFS('0510 4度C'!$Z:$Z,'0510 4度C'!$A:$A,"新豐4線",'0510 4度C'!$B:$B,"平均")</f>
        <v>0</v>
      </c>
    </row>
    <row r="20" spans="2:13" ht="17.25" customHeight="1">
      <c r="B20" s="505" t="s">
        <v>1057</v>
      </c>
      <c r="C20" s="94" t="s">
        <v>1055</v>
      </c>
      <c r="D20" s="95">
        <f>SUMIFS('0510 4度C'!$AC:$AC,'0510 4度C'!$A:$A,"新豐6線",'0510 4度C'!$B:$B,"平均")</f>
        <v>5</v>
      </c>
      <c r="E20" s="96">
        <f>SUMIFS('0510 4度C'!$AC:$AC,'0510 4度C'!$A:$A,"新豐2線",'0510 4度C'!$B:$B,"平均")</f>
        <v>3</v>
      </c>
      <c r="F20" s="96">
        <f>SUMIFS('0510 4度C'!$AC:$AC,'0510 4度C'!$A:$A,"新豐5線",'0510 4度C'!$B:$B,"平均")</f>
        <v>6</v>
      </c>
      <c r="G20" s="96">
        <f>SUMIFS('0510 4度C'!$AC:$AC,'0510 4度C'!$A:$A,"新豐7線",'0510 4度C'!$B:$B,"平均")</f>
        <v>7</v>
      </c>
      <c r="H20" s="96">
        <f>SUMIFS('0510 4度C'!$AC:$AC,'0510 4度C'!$A:$A,"新豐3線",'0510 4度C'!$B:$B,"平均")</f>
        <v>4</v>
      </c>
      <c r="I20" s="96">
        <f>SUMIFS('0510 4度C'!$AC:$AC,'0510 4度C'!$A:$A,"新豐1線",'0510 4度C'!$B:$B,"平均")</f>
        <v>7</v>
      </c>
      <c r="J20" s="97">
        <f>SUMIFS('0510 4度C'!$AC:$AC,'0510 4度C'!$A:$A,"新豐10線",'0510 4度C'!$B:$B,"平均")</f>
        <v>6</v>
      </c>
      <c r="K20" s="98">
        <f>SUMIFS('0510 4度C'!$AC:$AC,'0510 4度C'!$A:$A,"新豐8線",'0510 4度C'!$B:$B,"平均")</f>
        <v>7</v>
      </c>
      <c r="L20" s="96">
        <f>SUMIFS('0510 4度C'!$AC:$AC,'0510 4度C'!$A:$A,"新豐9線",'0510 4度C'!$B:$B,"平均")</f>
        <v>7</v>
      </c>
      <c r="M20" s="97">
        <f>SUMIFS('0510 4度C'!$AC:$AC,'0510 4度C'!$A:$A,"新豐4線",'0510 4度C'!$B:$B,"平均")</f>
        <v>7</v>
      </c>
    </row>
    <row r="21" spans="2:13" ht="17.25" customHeight="1">
      <c r="B21" s="506"/>
      <c r="C21" s="94" t="s">
        <v>1058</v>
      </c>
      <c r="D21" s="95">
        <f>SUMIFS('0510 4度C'!$AD:$AD,'0510 4度C'!$A:$A,"新豐6線",'0510 4度C'!$B:$B,"平均")</f>
        <v>0</v>
      </c>
      <c r="E21" s="96">
        <f>SUMIFS('0510 4度C'!$AD:$AD,'0510 4度C'!$A:$A,"新豐2線",'0510 4度C'!$B:$B,"平均")</f>
        <v>0</v>
      </c>
      <c r="F21" s="96">
        <f>SUMIFS('0510 4度C'!$AD:$AD,'0510 4度C'!$A:$A,"新豐5線",'0510 4度C'!$B:$B,"平均")</f>
        <v>0</v>
      </c>
      <c r="G21" s="96">
        <f>SUMIFS('0510 4度C'!$AD:$AD,'0510 4度C'!$A:$A,"新豐7線",'0510 4度C'!$B:$B,"平均")</f>
        <v>0</v>
      </c>
      <c r="H21" s="96">
        <f>SUMIFS('0510 4度C'!$AD:$AD,'0510 4度C'!$A:$A,"新豐3線",'0510 4度C'!$B:$B,"平均")</f>
        <v>0</v>
      </c>
      <c r="I21" s="96">
        <f>SUMIFS('0510 4度C'!$AD:$AD,'0510 4度C'!$A:$A,"新豐1線",'0510 4度C'!$B:$B,"平均")</f>
        <v>0</v>
      </c>
      <c r="J21" s="97">
        <f>SUMIFS('0510 4度C'!$AD:$AD,'0510 4度C'!$A:$A,"新豐10線",'0510 4度C'!$B:$B,"平均")</f>
        <v>0</v>
      </c>
      <c r="K21" s="98">
        <f>SUMIFS('0510 4度C'!$AD:$AD,'0510 4度C'!$A:$A,"新豐8線",'0510 4度C'!$B:$B,"平均")</f>
        <v>0</v>
      </c>
      <c r="L21" s="96">
        <f>SUMIFS('0510 4度C'!$AD:$AD,'0510 4度C'!$A:$A,"新豐9線",'0510 4度C'!$B:$B,"平均")</f>
        <v>0</v>
      </c>
      <c r="M21" s="97">
        <f>SUMIFS('0510 4度C'!$AD:$AD,'0510 4度C'!$A:$A,"新豐4線",'0510 4度C'!$B:$B,"平均")</f>
        <v>0</v>
      </c>
    </row>
    <row r="22" spans="2:13" ht="17.25" customHeight="1">
      <c r="B22" s="507" t="s">
        <v>1059</v>
      </c>
      <c r="C22" s="508"/>
      <c r="D22" s="99">
        <f>SUMIFS('0510 4度C'!$I:$I,'0510 4度C'!$A:$A,"新豐6線",'0510 4度C'!$B:$B,"平均")</f>
        <v>16.600000000000001</v>
      </c>
      <c r="E22" s="100">
        <f>SUMIFS('0510 4度C'!$I:$I,'0510 4度C'!$A:$A,"新豐2線",'0510 4度C'!$B:$B,"平均")</f>
        <v>17.666666666666668</v>
      </c>
      <c r="F22" s="100">
        <f>SUMIFS('0510 4度C'!$I:$I,'0510 4度C'!$A:$A,"新豐5線",'0510 4度C'!$B:$B,"平均")</f>
        <v>18</v>
      </c>
      <c r="G22" s="100">
        <f>SUMIFS('0510 4度C'!$I:$I,'0510 4度C'!$A:$A,"新豐7線",'0510 4度C'!$B:$B,"平均")</f>
        <v>15.428571428571429</v>
      </c>
      <c r="H22" s="100">
        <f>SUMIFS('0510 4度C'!$I:$I,'0510 4度C'!$A:$A,"新豐3線",'0510 4度C'!$B:$B,"平均")</f>
        <v>10.75</v>
      </c>
      <c r="I22" s="100">
        <f>SUMIFS('0510 4度C'!$I:$I,'0510 4度C'!$A:$A,"新豐1線",'0510 4度C'!$B:$B,"平均")</f>
        <v>19.142857142857142</v>
      </c>
      <c r="J22" s="101">
        <f>SUMIFS('0510 4度C'!$I:$I,'0510 4度C'!$A:$A,"新豐10線",'0510 4度C'!$B:$B,"平均")</f>
        <v>9.5</v>
      </c>
      <c r="K22" s="99">
        <f>SUMIFS('0510 4度C'!$I:$I,'0510 4度C'!$A:$A,"新豐8線",'0510 4度C'!$B:$B,"平均")</f>
        <v>16.714285714285715</v>
      </c>
      <c r="L22" s="100">
        <f>SUMIFS('0510 4度C'!$I:$I,'0510 4度C'!$A:$A,"新豐9線",'0510 4度C'!$B:$B,"平均")</f>
        <v>17.714285714285715</v>
      </c>
      <c r="M22" s="101">
        <f>SUMIFS('0510 4度C'!$I:$I,'0510 4度C'!$A:$A,"新豐4線",'0510 4度C'!$B:$B,"平均")</f>
        <v>16.142857142857142</v>
      </c>
    </row>
    <row r="23" spans="2:13" ht="17.25" customHeight="1">
      <c r="B23" s="507" t="s">
        <v>1060</v>
      </c>
      <c r="C23" s="508"/>
      <c r="D23" s="102" t="s">
        <v>177</v>
      </c>
      <c r="E23" s="103" t="s">
        <v>178</v>
      </c>
      <c r="F23" s="103" t="s">
        <v>225</v>
      </c>
      <c r="G23" s="103" t="s">
        <v>225</v>
      </c>
      <c r="H23" s="103" t="s">
        <v>180</v>
      </c>
      <c r="I23" s="103" t="s">
        <v>177</v>
      </c>
      <c r="J23" s="104" t="s">
        <v>180</v>
      </c>
      <c r="K23" s="102" t="s">
        <v>1061</v>
      </c>
      <c r="L23" s="103" t="s">
        <v>1061</v>
      </c>
      <c r="M23" s="104" t="s">
        <v>1061</v>
      </c>
    </row>
    <row r="24" spans="2:13" ht="17.25" customHeight="1">
      <c r="B24" s="507" t="s">
        <v>1062</v>
      </c>
      <c r="C24" s="508"/>
      <c r="D24" s="102"/>
      <c r="E24" s="103"/>
      <c r="F24" s="103" t="s">
        <v>1063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1064</v>
      </c>
      <c r="C25" s="510"/>
      <c r="D25" s="105"/>
      <c r="E25" s="106" t="s">
        <v>1065</v>
      </c>
      <c r="F25" s="503" t="s">
        <v>1066</v>
      </c>
      <c r="G25" s="504"/>
      <c r="H25" s="106" t="s">
        <v>1067</v>
      </c>
      <c r="I25" s="106" t="s">
        <v>189</v>
      </c>
      <c r="J25" s="107" t="s">
        <v>1067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58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4"/>
  <sheetViews>
    <sheetView zoomScale="80" zoomScaleNormal="80" workbookViewId="0">
      <pane ySplit="4" topLeftCell="A21" activePane="bottomLeft" state="frozen"/>
      <selection activeCell="I7" sqref="I7:J7"/>
      <selection pane="bottomLeft" activeCell="U5" sqref="U5:Y7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1068</v>
      </c>
      <c r="B1" s="1"/>
      <c r="C1" s="2" t="s">
        <v>1</v>
      </c>
      <c r="D1" s="3">
        <f>SUM(F5:F73)</f>
        <v>203736</v>
      </c>
      <c r="E1" s="205" t="s">
        <v>1069</v>
      </c>
      <c r="F1" s="1">
        <f>SUM(G5:G73)</f>
        <v>6836681.2800000003</v>
      </c>
      <c r="G1" s="1" t="s">
        <v>1070</v>
      </c>
      <c r="H1" s="5">
        <f>L10+L14+L50+L58+L21+L65+L37+L45+L29+L73</f>
        <v>157.65952380952379</v>
      </c>
      <c r="I1" s="617" t="s">
        <v>1071</v>
      </c>
      <c r="J1" s="617"/>
      <c r="K1" s="617"/>
      <c r="L1" s="617" t="s">
        <v>1072</v>
      </c>
      <c r="M1" s="617"/>
      <c r="N1" s="617"/>
      <c r="O1" s="617" t="s">
        <v>1073</v>
      </c>
      <c r="P1" s="617"/>
      <c r="Q1" s="617"/>
      <c r="R1" s="617"/>
      <c r="S1" s="617" t="s">
        <v>1074</v>
      </c>
      <c r="T1" s="617"/>
      <c r="U1" s="617"/>
      <c r="V1" s="617"/>
      <c r="W1" s="617"/>
      <c r="X1" s="617"/>
      <c r="Y1" s="6" t="s">
        <v>1075</v>
      </c>
      <c r="Z1" s="7" t="s">
        <v>1076</v>
      </c>
      <c r="AA1" s="618" t="s">
        <v>1077</v>
      </c>
      <c r="AB1" s="618"/>
      <c r="AC1" s="121" t="s">
        <v>1075</v>
      </c>
      <c r="AD1" s="7" t="s">
        <v>1078</v>
      </c>
      <c r="AE1" s="617" t="s">
        <v>1079</v>
      </c>
      <c r="AF1" s="619"/>
      <c r="AG1" s="619"/>
    </row>
    <row r="2" spans="1:33" ht="26.25" customHeight="1">
      <c r="A2" s="37">
        <v>46152</v>
      </c>
      <c r="B2" s="38" t="s">
        <v>353</v>
      </c>
      <c r="C2" s="2" t="s">
        <v>1080</v>
      </c>
      <c r="D2" s="10">
        <f>AVERAGE(N10,N14,N50,N58,N21,N65,N29,N37,N45,N73)</f>
        <v>146.55463682098755</v>
      </c>
      <c r="E2" s="11" t="s">
        <v>14</v>
      </c>
      <c r="F2" s="12">
        <f>F1/D1</f>
        <v>33.556569678407349</v>
      </c>
      <c r="G2" s="1" t="s">
        <v>1081</v>
      </c>
      <c r="H2" s="217">
        <f>COUNT(H5:H73)</f>
        <v>12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SUM(Y10+Y14+Y21+Y29+Y37+Y45+Y50+Y58+Y65+Y73)</f>
        <v>0</v>
      </c>
      <c r="Z2" s="14">
        <f>SUM(Z10+Z14+Z21+Z29+Z37+Z45+Z50+Z58+Z65+Z73)</f>
        <v>0</v>
      </c>
      <c r="AA2" s="618"/>
      <c r="AB2" s="618"/>
      <c r="AC2" s="122">
        <v>59</v>
      </c>
      <c r="AD2" s="14">
        <f>SUM(AD10+AD14+AD21+AD29+AD37+AD45+AD50+AD58+AD65+AD73)</f>
        <v>0</v>
      </c>
      <c r="AE2" s="619"/>
      <c r="AF2" s="619"/>
      <c r="AG2" s="619"/>
    </row>
    <row r="3" spans="1:33" ht="40.5" customHeight="1">
      <c r="A3" s="575" t="s">
        <v>1082</v>
      </c>
      <c r="B3" s="575" t="s">
        <v>1083</v>
      </c>
      <c r="C3" s="575" t="s">
        <v>1084</v>
      </c>
      <c r="D3" s="575"/>
      <c r="E3" s="615" t="s">
        <v>1085</v>
      </c>
      <c r="F3" s="575" t="s">
        <v>360</v>
      </c>
      <c r="G3" s="615" t="s">
        <v>1086</v>
      </c>
      <c r="H3" s="608" t="s">
        <v>1087</v>
      </c>
      <c r="I3" s="606" t="s">
        <v>1088</v>
      </c>
      <c r="J3" s="603" t="s">
        <v>1089</v>
      </c>
      <c r="K3" s="613" t="s">
        <v>1080</v>
      </c>
      <c r="L3" s="606" t="s">
        <v>492</v>
      </c>
      <c r="M3" s="603" t="s">
        <v>1089</v>
      </c>
      <c r="N3" s="613" t="s">
        <v>13</v>
      </c>
      <c r="O3" s="606" t="s">
        <v>1088</v>
      </c>
      <c r="P3" s="613" t="s">
        <v>1080</v>
      </c>
      <c r="Q3" s="604" t="s">
        <v>1090</v>
      </c>
      <c r="R3" s="582" t="s">
        <v>1091</v>
      </c>
      <c r="S3" s="614" t="s">
        <v>28</v>
      </c>
      <c r="T3" s="614"/>
      <c r="U3" s="608" t="s">
        <v>29</v>
      </c>
      <c r="V3" s="608" t="s">
        <v>1092</v>
      </c>
      <c r="W3" s="575" t="s">
        <v>1093</v>
      </c>
      <c r="X3" s="575"/>
      <c r="Y3" s="609" t="s">
        <v>1094</v>
      </c>
      <c r="Z3" s="572"/>
      <c r="AA3" s="610" t="s">
        <v>1095</v>
      </c>
      <c r="AB3" s="611"/>
      <c r="AC3" s="609" t="s">
        <v>1096</v>
      </c>
      <c r="AD3" s="572"/>
      <c r="AE3" s="603" t="s">
        <v>1097</v>
      </c>
      <c r="AF3" s="604" t="s">
        <v>1098</v>
      </c>
      <c r="AG3" s="582" t="s">
        <v>1099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216" t="s">
        <v>36</v>
      </c>
      <c r="T4" s="216" t="s">
        <v>37</v>
      </c>
      <c r="U4" s="608"/>
      <c r="V4" s="608"/>
      <c r="W4" s="205" t="s">
        <v>1100</v>
      </c>
      <c r="X4" s="205" t="s">
        <v>1101</v>
      </c>
      <c r="Y4" s="204" t="s">
        <v>1102</v>
      </c>
      <c r="Z4" s="204" t="s">
        <v>1103</v>
      </c>
      <c r="AA4" s="612"/>
      <c r="AB4" s="611"/>
      <c r="AC4" s="204" t="s">
        <v>1104</v>
      </c>
      <c r="AD4" s="204" t="s">
        <v>1105</v>
      </c>
      <c r="AE4" s="603"/>
      <c r="AF4" s="604"/>
      <c r="AG4" s="582"/>
    </row>
    <row r="5" spans="1:33">
      <c r="A5" s="605" t="s">
        <v>1106</v>
      </c>
      <c r="B5" s="39" t="s">
        <v>74</v>
      </c>
      <c r="C5" s="607" t="s">
        <v>75</v>
      </c>
      <c r="D5" s="607"/>
      <c r="E5" s="39">
        <v>50.67</v>
      </c>
      <c r="F5" s="216">
        <v>1677</v>
      </c>
      <c r="G5" s="205">
        <f t="shared" ref="G5:G9" si="0">E5*F5</f>
        <v>84973.59</v>
      </c>
      <c r="H5" s="48" t="s">
        <v>126</v>
      </c>
      <c r="I5" s="214">
        <v>17</v>
      </c>
      <c r="J5" s="43">
        <v>2000</v>
      </c>
      <c r="K5" s="18">
        <f t="shared" ref="K5:K68" si="1">J5/I5</f>
        <v>117.64705882352941</v>
      </c>
      <c r="L5" s="214">
        <v>17</v>
      </c>
      <c r="M5" s="19">
        <f t="shared" ref="M5:M9" si="2">F5/V5*60</f>
        <v>1935.0000000000009</v>
      </c>
      <c r="N5" s="18">
        <f t="shared" ref="N5:N68" si="3">M5/L5</f>
        <v>113.82352941176475</v>
      </c>
      <c r="O5" s="20">
        <f t="shared" ref="O5:O68" si="4">L5-I5</f>
        <v>0</v>
      </c>
      <c r="P5" s="21">
        <f t="shared" ref="P5:P68" si="5">N5-K5</f>
        <v>-3.8235294117646532</v>
      </c>
      <c r="Q5" s="210">
        <f t="shared" ref="Q5:Q68" si="6">N5/K5</f>
        <v>0.96750000000000047</v>
      </c>
      <c r="R5" s="573">
        <f>Q10</f>
        <v>0.96644277060417583</v>
      </c>
      <c r="S5" s="49">
        <v>0.70833333333333337</v>
      </c>
      <c r="T5" s="49">
        <v>0.74444444444444446</v>
      </c>
      <c r="U5" s="205"/>
      <c r="V5" s="215">
        <f t="shared" ref="V5:V9" si="7">(T5-S5)*24*60</f>
        <v>51.999999999999972</v>
      </c>
      <c r="W5" s="25"/>
      <c r="X5" s="26"/>
      <c r="Y5" s="26"/>
      <c r="Z5" s="26"/>
      <c r="AA5" s="575"/>
      <c r="AB5" s="575"/>
      <c r="AC5" s="50">
        <v>5</v>
      </c>
      <c r="AD5" s="27"/>
      <c r="AE5" s="20">
        <f t="shared" ref="AE5:AE57" si="8">M5-J5</f>
        <v>-64.999999999999091</v>
      </c>
      <c r="AF5" s="210">
        <f t="shared" ref="AF5:AF68" si="9">M5/J5</f>
        <v>0.96750000000000047</v>
      </c>
      <c r="AG5" s="573">
        <f>AF10</f>
        <v>0.96644277060417583</v>
      </c>
    </row>
    <row r="6" spans="1:33">
      <c r="A6" s="606" t="s">
        <v>1107</v>
      </c>
      <c r="B6" s="39" t="s">
        <v>74</v>
      </c>
      <c r="C6" s="607" t="s">
        <v>76</v>
      </c>
      <c r="D6" s="607"/>
      <c r="E6" s="39">
        <v>54.09</v>
      </c>
      <c r="F6" s="216">
        <v>1328</v>
      </c>
      <c r="G6" s="205">
        <f t="shared" si="0"/>
        <v>71831.520000000004</v>
      </c>
      <c r="H6" s="48" t="s">
        <v>126</v>
      </c>
      <c r="I6" s="214">
        <v>19</v>
      </c>
      <c r="J6" s="43">
        <v>2000</v>
      </c>
      <c r="K6" s="18">
        <f t="shared" si="1"/>
        <v>105.26315789473684</v>
      </c>
      <c r="L6" s="214">
        <v>19</v>
      </c>
      <c r="M6" s="19">
        <f t="shared" si="2"/>
        <v>1943.4146341463406</v>
      </c>
      <c r="N6" s="18">
        <f t="shared" si="3"/>
        <v>102.28498074454424</v>
      </c>
      <c r="O6" s="20">
        <f t="shared" si="4"/>
        <v>0</v>
      </c>
      <c r="P6" s="21">
        <f t="shared" si="5"/>
        <v>-2.9781771501925931</v>
      </c>
      <c r="Q6" s="210">
        <f t="shared" si="6"/>
        <v>0.97170731707317037</v>
      </c>
      <c r="R6" s="573"/>
      <c r="S6" s="49">
        <v>0.75</v>
      </c>
      <c r="T6" s="49">
        <v>0.77847222222222223</v>
      </c>
      <c r="U6" s="205">
        <f t="shared" ref="U6:U9" si="10">IF(S6=TIME(17,0,0),"",(S6-T5)*24*60)</f>
        <v>7.9999999999999716</v>
      </c>
      <c r="V6" s="215">
        <f t="shared" si="7"/>
        <v>41.000000000000014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-56.585365853659368</v>
      </c>
      <c r="AF6" s="210">
        <f t="shared" si="9"/>
        <v>0.97170731707317026</v>
      </c>
      <c r="AG6" s="573"/>
    </row>
    <row r="7" spans="1:33">
      <c r="A7" s="606" t="s">
        <v>1107</v>
      </c>
      <c r="B7" s="39" t="s">
        <v>74</v>
      </c>
      <c r="C7" s="598" t="s">
        <v>77</v>
      </c>
      <c r="D7" s="599"/>
      <c r="E7" s="39">
        <v>50.67</v>
      </c>
      <c r="F7" s="216">
        <v>1726</v>
      </c>
      <c r="G7" s="205">
        <f t="shared" si="0"/>
        <v>87456.42</v>
      </c>
      <c r="H7" s="48" t="s">
        <v>126</v>
      </c>
      <c r="I7" s="214">
        <v>15</v>
      </c>
      <c r="J7" s="43">
        <v>2000</v>
      </c>
      <c r="K7" s="18">
        <f t="shared" si="1"/>
        <v>133.33333333333334</v>
      </c>
      <c r="L7" s="214">
        <v>15</v>
      </c>
      <c r="M7" s="19">
        <f t="shared" si="2"/>
        <v>1917.7777777777787</v>
      </c>
      <c r="N7" s="18">
        <f t="shared" si="3"/>
        <v>127.85185185185192</v>
      </c>
      <c r="O7" s="20">
        <f t="shared" si="4"/>
        <v>0</v>
      </c>
      <c r="P7" s="21">
        <f t="shared" si="5"/>
        <v>-5.4814814814814241</v>
      </c>
      <c r="Q7" s="210">
        <f t="shared" si="6"/>
        <v>0.95888888888888935</v>
      </c>
      <c r="R7" s="573"/>
      <c r="S7" s="49">
        <v>0.78263888888888888</v>
      </c>
      <c r="T7" s="49">
        <v>0.82013888888888886</v>
      </c>
      <c r="U7" s="205">
        <f t="shared" si="10"/>
        <v>5.9999999999999787</v>
      </c>
      <c r="V7" s="215">
        <f t="shared" si="7"/>
        <v>53.999999999999972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-82.222222222221262</v>
      </c>
      <c r="AF7" s="210">
        <f t="shared" si="9"/>
        <v>0.95888888888888935</v>
      </c>
      <c r="AG7" s="573"/>
    </row>
    <row r="8" spans="1:33">
      <c r="A8" s="606" t="s">
        <v>1107</v>
      </c>
      <c r="B8" s="39" t="s">
        <v>74</v>
      </c>
      <c r="C8" s="598" t="s">
        <v>78</v>
      </c>
      <c r="D8" s="599"/>
      <c r="E8" s="39">
        <v>52.86</v>
      </c>
      <c r="F8" s="216">
        <v>800</v>
      </c>
      <c r="G8" s="205">
        <f t="shared" si="0"/>
        <v>42288</v>
      </c>
      <c r="H8" s="48">
        <v>2</v>
      </c>
      <c r="I8" s="214">
        <v>16</v>
      </c>
      <c r="J8" s="43">
        <v>2000</v>
      </c>
      <c r="K8" s="18">
        <f t="shared" si="1"/>
        <v>125</v>
      </c>
      <c r="L8" s="214">
        <v>16</v>
      </c>
      <c r="M8" s="19">
        <f t="shared" si="2"/>
        <v>1919.9999999999945</v>
      </c>
      <c r="N8" s="18">
        <f t="shared" si="3"/>
        <v>119.99999999999966</v>
      </c>
      <c r="O8" s="20">
        <f t="shared" si="4"/>
        <v>0</v>
      </c>
      <c r="P8" s="21">
        <f t="shared" si="5"/>
        <v>-5.0000000000003411</v>
      </c>
      <c r="Q8" s="210">
        <f t="shared" si="6"/>
        <v>0.9599999999999973</v>
      </c>
      <c r="R8" s="573"/>
      <c r="S8" s="49">
        <v>0.82499999999999996</v>
      </c>
      <c r="T8" s="49">
        <v>0.84236111111111112</v>
      </c>
      <c r="U8" s="205">
        <f t="shared" si="10"/>
        <v>6.9999999999999751</v>
      </c>
      <c r="V8" s="215">
        <f t="shared" si="7"/>
        <v>25.000000000000071</v>
      </c>
      <c r="W8" s="25">
        <f>T8</f>
        <v>0.84236111111111112</v>
      </c>
      <c r="X8" s="25">
        <f>S9</f>
        <v>0.88124999999999998</v>
      </c>
      <c r="Y8" s="31"/>
      <c r="Z8" s="31"/>
      <c r="AA8" s="568"/>
      <c r="AB8" s="569"/>
      <c r="AC8" s="50"/>
      <c r="AD8" s="29"/>
      <c r="AE8" s="20">
        <f t="shared" si="8"/>
        <v>-80.000000000005457</v>
      </c>
      <c r="AF8" s="210">
        <f t="shared" si="9"/>
        <v>0.9599999999999973</v>
      </c>
      <c r="AG8" s="573"/>
    </row>
    <row r="9" spans="1:33">
      <c r="A9" s="606" t="s">
        <v>1107</v>
      </c>
      <c r="B9" s="39" t="s">
        <v>74</v>
      </c>
      <c r="C9" s="598" t="s">
        <v>78</v>
      </c>
      <c r="D9" s="599"/>
      <c r="E9" s="39">
        <v>52.86</v>
      </c>
      <c r="F9" s="216">
        <v>1104</v>
      </c>
      <c r="G9" s="205">
        <f t="shared" si="0"/>
        <v>58357.440000000002</v>
      </c>
      <c r="H9" s="48" t="s">
        <v>126</v>
      </c>
      <c r="I9" s="214">
        <v>16</v>
      </c>
      <c r="J9" s="43">
        <v>2000</v>
      </c>
      <c r="K9" s="18">
        <f t="shared" si="1"/>
        <v>125</v>
      </c>
      <c r="L9" s="214">
        <v>16</v>
      </c>
      <c r="M9" s="19">
        <f t="shared" si="2"/>
        <v>1948.2352941176448</v>
      </c>
      <c r="N9" s="18">
        <f t="shared" si="3"/>
        <v>121.7647058823528</v>
      </c>
      <c r="O9" s="20">
        <f t="shared" si="4"/>
        <v>0</v>
      </c>
      <c r="P9" s="21">
        <f t="shared" si="5"/>
        <v>-3.2352941176472001</v>
      </c>
      <c r="Q9" s="210">
        <f t="shared" si="6"/>
        <v>0.97411764705882242</v>
      </c>
      <c r="R9" s="573"/>
      <c r="S9" s="49">
        <v>0.88124999999999998</v>
      </c>
      <c r="T9" s="49">
        <v>0.90486111111111112</v>
      </c>
      <c r="U9" s="205">
        <f t="shared" si="10"/>
        <v>55.999999999999957</v>
      </c>
      <c r="V9" s="215">
        <f t="shared" si="7"/>
        <v>34.000000000000043</v>
      </c>
      <c r="W9" s="25"/>
      <c r="X9" s="25"/>
      <c r="Y9" s="28"/>
      <c r="Z9" s="28"/>
      <c r="AA9" s="568"/>
      <c r="AB9" s="569"/>
      <c r="AC9" s="50"/>
      <c r="AD9" s="29"/>
      <c r="AE9" s="20">
        <f t="shared" si="8"/>
        <v>-51.764705882355202</v>
      </c>
      <c r="AF9" s="210">
        <f t="shared" si="9"/>
        <v>0.97411764705882242</v>
      </c>
      <c r="AG9" s="573"/>
    </row>
    <row r="10" spans="1:33">
      <c r="A10" s="606" t="s">
        <v>1107</v>
      </c>
      <c r="B10" s="39" t="s">
        <v>1108</v>
      </c>
      <c r="C10" s="576"/>
      <c r="D10" s="576"/>
      <c r="E10" s="211"/>
      <c r="F10" s="42"/>
      <c r="G10" s="18"/>
      <c r="H10" s="216"/>
      <c r="I10" s="32">
        <v>16.600000000000001</v>
      </c>
      <c r="J10" s="43">
        <v>2000</v>
      </c>
      <c r="K10" s="18">
        <f t="shared" si="1"/>
        <v>120.48192771084337</v>
      </c>
      <c r="L10" s="32">
        <v>16.600000000000001</v>
      </c>
      <c r="M10" s="19">
        <f>AVERAGE(M5:M9)</f>
        <v>1932.8855412083517</v>
      </c>
      <c r="N10" s="18">
        <f t="shared" si="3"/>
        <v>116.43888802459949</v>
      </c>
      <c r="O10" s="20">
        <f t="shared" si="4"/>
        <v>0</v>
      </c>
      <c r="P10" s="21">
        <f t="shared" si="5"/>
        <v>-4.0430396862438727</v>
      </c>
      <c r="Q10" s="210">
        <f t="shared" si="6"/>
        <v>0.96644277060417583</v>
      </c>
      <c r="R10" s="573"/>
      <c r="S10" s="49"/>
      <c r="T10" s="49"/>
      <c r="U10" s="205"/>
      <c r="V10" s="215"/>
      <c r="W10" s="18"/>
      <c r="X10" s="18"/>
      <c r="Y10" s="33">
        <f>SUM(Y5:Y9)</f>
        <v>0</v>
      </c>
      <c r="Z10" s="33">
        <f>SUM(Z5:Z9)</f>
        <v>0</v>
      </c>
      <c r="AA10" s="572"/>
      <c r="AB10" s="572"/>
      <c r="AC10" s="33">
        <v>5</v>
      </c>
      <c r="AD10" s="33">
        <f>SUM(AD5:AD9)</f>
        <v>0</v>
      </c>
      <c r="AE10" s="20">
        <f t="shared" si="8"/>
        <v>-67.114458791648303</v>
      </c>
      <c r="AF10" s="210">
        <f t="shared" si="9"/>
        <v>0.96644277060417583</v>
      </c>
      <c r="AG10" s="573"/>
    </row>
    <row r="11" spans="1:33" ht="15.75" customHeight="1">
      <c r="A11" s="602" t="s">
        <v>1109</v>
      </c>
      <c r="B11" s="39" t="s">
        <v>79</v>
      </c>
      <c r="C11" s="598" t="s">
        <v>80</v>
      </c>
      <c r="D11" s="599"/>
      <c r="E11" s="39">
        <v>39.619999999999997</v>
      </c>
      <c r="F11" s="216">
        <v>5708</v>
      </c>
      <c r="G11" s="205">
        <f t="shared" ref="G11:G13" si="11">E11*F11</f>
        <v>226150.96</v>
      </c>
      <c r="H11" s="48" t="s">
        <v>126</v>
      </c>
      <c r="I11" s="214">
        <v>19</v>
      </c>
      <c r="J11" s="43">
        <v>1500</v>
      </c>
      <c r="K11" s="18">
        <f t="shared" si="1"/>
        <v>78.94736842105263</v>
      </c>
      <c r="L11" s="214">
        <v>19</v>
      </c>
      <c r="M11" s="19">
        <f t="shared" ref="M11:M13" si="12">F11/V11*60</f>
        <v>1427</v>
      </c>
      <c r="N11" s="18">
        <f t="shared" si="3"/>
        <v>75.10526315789474</v>
      </c>
      <c r="O11" s="20">
        <f t="shared" si="4"/>
        <v>0</v>
      </c>
      <c r="P11" s="21">
        <f t="shared" si="5"/>
        <v>-3.8421052631578902</v>
      </c>
      <c r="Q11" s="210">
        <f t="shared" si="6"/>
        <v>0.95133333333333336</v>
      </c>
      <c r="R11" s="573">
        <f>Q14</f>
        <v>0.95221149272717232</v>
      </c>
      <c r="S11" s="49">
        <v>0.20833333333333334</v>
      </c>
      <c r="T11" s="49">
        <v>0.375</v>
      </c>
      <c r="U11" s="205"/>
      <c r="V11" s="215">
        <f t="shared" ref="V11:V13" si="13">(T11-S11)*24*60</f>
        <v>240</v>
      </c>
      <c r="W11" s="25"/>
      <c r="X11" s="25"/>
      <c r="Y11" s="25"/>
      <c r="Z11" s="25"/>
      <c r="AA11" s="575"/>
      <c r="AB11" s="575"/>
      <c r="AC11" s="50">
        <v>3</v>
      </c>
      <c r="AD11" s="27"/>
      <c r="AE11" s="20">
        <f t="shared" si="8"/>
        <v>-73</v>
      </c>
      <c r="AF11" s="210">
        <f t="shared" si="9"/>
        <v>0.95133333333333336</v>
      </c>
      <c r="AG11" s="573">
        <f>AF14</f>
        <v>0.95221149272717232</v>
      </c>
    </row>
    <row r="12" spans="1:33" ht="15.75" customHeight="1">
      <c r="A12" s="602" t="s">
        <v>1109</v>
      </c>
      <c r="B12" s="39" t="s">
        <v>79</v>
      </c>
      <c r="C12" s="598" t="s">
        <v>81</v>
      </c>
      <c r="D12" s="599"/>
      <c r="E12" s="39">
        <v>39.799999999999997</v>
      </c>
      <c r="F12" s="216">
        <v>3900</v>
      </c>
      <c r="G12" s="205">
        <f t="shared" si="11"/>
        <v>155220</v>
      </c>
      <c r="H12" s="48">
        <v>2</v>
      </c>
      <c r="I12" s="214">
        <v>17</v>
      </c>
      <c r="J12" s="43">
        <v>1500</v>
      </c>
      <c r="K12" s="18">
        <f t="shared" si="1"/>
        <v>88.235294117647058</v>
      </c>
      <c r="L12" s="214">
        <v>17</v>
      </c>
      <c r="M12" s="19">
        <f t="shared" si="12"/>
        <v>1426.8292682926831</v>
      </c>
      <c r="N12" s="18">
        <f t="shared" si="3"/>
        <v>83.931133428981354</v>
      </c>
      <c r="O12" s="20">
        <f t="shared" si="4"/>
        <v>0</v>
      </c>
      <c r="P12" s="21">
        <f t="shared" si="5"/>
        <v>-4.3041606886657036</v>
      </c>
      <c r="Q12" s="210">
        <f t="shared" si="6"/>
        <v>0.95121951219512202</v>
      </c>
      <c r="R12" s="573"/>
      <c r="S12" s="49">
        <v>0.37986111111111109</v>
      </c>
      <c r="T12" s="49">
        <v>0.49374999999999997</v>
      </c>
      <c r="U12" s="205">
        <f t="shared" ref="U12:U13" si="14">IF(S12=TIME(17,0,0),"",(S12-T11)*24*60)</f>
        <v>6.9999999999999751</v>
      </c>
      <c r="V12" s="215">
        <f t="shared" si="13"/>
        <v>163.99999999999997</v>
      </c>
      <c r="W12" s="25">
        <f>T12</f>
        <v>0.49374999999999997</v>
      </c>
      <c r="X12" s="25">
        <f>S13</f>
        <v>0.53333333333333321</v>
      </c>
      <c r="Y12" s="25"/>
      <c r="Z12" s="25"/>
      <c r="AA12" s="575"/>
      <c r="AB12" s="575"/>
      <c r="AC12" s="50"/>
      <c r="AD12" s="27"/>
      <c r="AE12" s="20">
        <f t="shared" si="8"/>
        <v>-73.170731707316918</v>
      </c>
      <c r="AF12" s="210">
        <f t="shared" si="9"/>
        <v>0.95121951219512202</v>
      </c>
      <c r="AG12" s="573"/>
    </row>
    <row r="13" spans="1:33" ht="15.75" customHeight="1">
      <c r="A13" s="602" t="s">
        <v>1109</v>
      </c>
      <c r="B13" s="39" t="s">
        <v>79</v>
      </c>
      <c r="C13" s="598" t="s">
        <v>81</v>
      </c>
      <c r="D13" s="599"/>
      <c r="E13" s="39">
        <v>39.799999999999997</v>
      </c>
      <c r="F13" s="216">
        <v>4675</v>
      </c>
      <c r="G13" s="205">
        <f t="shared" si="11"/>
        <v>186065</v>
      </c>
      <c r="H13" s="48" t="s">
        <v>126</v>
      </c>
      <c r="I13" s="214">
        <v>17</v>
      </c>
      <c r="J13" s="43">
        <v>1500</v>
      </c>
      <c r="K13" s="18">
        <f t="shared" si="1"/>
        <v>88.235294117647058</v>
      </c>
      <c r="L13" s="214">
        <v>17</v>
      </c>
      <c r="M13" s="19">
        <f t="shared" si="12"/>
        <v>1431.1224489795923</v>
      </c>
      <c r="N13" s="18">
        <f t="shared" si="3"/>
        <v>84.183673469387784</v>
      </c>
      <c r="O13" s="20">
        <f t="shared" si="4"/>
        <v>0</v>
      </c>
      <c r="P13" s="21">
        <f t="shared" si="5"/>
        <v>-4.0516206482592736</v>
      </c>
      <c r="Q13" s="210">
        <f t="shared" si="6"/>
        <v>0.95408163265306156</v>
      </c>
      <c r="R13" s="573"/>
      <c r="S13" s="49">
        <v>0.53333333333333321</v>
      </c>
      <c r="T13" s="49">
        <v>0.66944444444444429</v>
      </c>
      <c r="U13" s="205">
        <f t="shared" si="14"/>
        <v>56.999999999999879</v>
      </c>
      <c r="V13" s="215">
        <f t="shared" si="13"/>
        <v>195.99999999999994</v>
      </c>
      <c r="W13" s="25"/>
      <c r="X13" s="25"/>
      <c r="Y13" s="25"/>
      <c r="Z13" s="25"/>
      <c r="AA13" s="575"/>
      <c r="AB13" s="575"/>
      <c r="AC13" s="50"/>
      <c r="AD13" s="27"/>
      <c r="AE13" s="20">
        <f t="shared" si="8"/>
        <v>-68.877551020407736</v>
      </c>
      <c r="AF13" s="210">
        <f t="shared" si="9"/>
        <v>0.95408163265306156</v>
      </c>
      <c r="AG13" s="573"/>
    </row>
    <row r="14" spans="1:33" ht="16.5" customHeight="1">
      <c r="A14" s="602" t="s">
        <v>1109</v>
      </c>
      <c r="B14" s="39" t="s">
        <v>1108</v>
      </c>
      <c r="C14" s="576"/>
      <c r="D14" s="576"/>
      <c r="E14" s="211"/>
      <c r="F14" s="43"/>
      <c r="G14" s="19"/>
      <c r="H14" s="216"/>
      <c r="I14" s="32">
        <v>17.666666666666668</v>
      </c>
      <c r="J14" s="43">
        <v>1500</v>
      </c>
      <c r="K14" s="18">
        <f t="shared" si="1"/>
        <v>84.905660377358487</v>
      </c>
      <c r="L14" s="32">
        <v>17.666666666666668</v>
      </c>
      <c r="M14" s="19">
        <f>AVERAGE(M11:M13)</f>
        <v>1428.3172390907584</v>
      </c>
      <c r="N14" s="18">
        <f t="shared" si="3"/>
        <v>80.848145608910855</v>
      </c>
      <c r="O14" s="20">
        <f t="shared" si="4"/>
        <v>0</v>
      </c>
      <c r="P14" s="21">
        <f t="shared" si="5"/>
        <v>-4.057514768447632</v>
      </c>
      <c r="Q14" s="210">
        <f t="shared" si="6"/>
        <v>0.95221149272717232</v>
      </c>
      <c r="R14" s="573"/>
      <c r="S14" s="49"/>
      <c r="T14" s="49"/>
      <c r="U14" s="18"/>
      <c r="V14" s="215"/>
      <c r="W14" s="18"/>
      <c r="X14" s="18"/>
      <c r="Y14" s="33">
        <f>SUM(Y11:Y13)</f>
        <v>0</v>
      </c>
      <c r="Z14" s="33">
        <f>SUM(Z11:Z13)</f>
        <v>0</v>
      </c>
      <c r="AA14" s="572"/>
      <c r="AB14" s="572"/>
      <c r="AC14" s="33">
        <v>3</v>
      </c>
      <c r="AD14" s="33">
        <f>SUM(AD11:AD13)</f>
        <v>0</v>
      </c>
      <c r="AE14" s="20">
        <f t="shared" si="8"/>
        <v>-71.682760909241551</v>
      </c>
      <c r="AF14" s="210">
        <f t="shared" si="9"/>
        <v>0.95221149272717232</v>
      </c>
      <c r="AG14" s="573"/>
    </row>
    <row r="15" spans="1:33" ht="16.5" customHeight="1">
      <c r="A15" s="600" t="s">
        <v>1110</v>
      </c>
      <c r="B15" s="216" t="s">
        <v>82</v>
      </c>
      <c r="C15" s="594" t="s">
        <v>83</v>
      </c>
      <c r="D15" s="594"/>
      <c r="E15" s="39">
        <v>41</v>
      </c>
      <c r="F15" s="216">
        <v>1918</v>
      </c>
      <c r="G15" s="205">
        <f t="shared" ref="G15:G20" si="15">E15*F15</f>
        <v>78638</v>
      </c>
      <c r="H15" s="48" t="s">
        <v>126</v>
      </c>
      <c r="I15" s="214">
        <v>26</v>
      </c>
      <c r="J15" s="43">
        <v>1500</v>
      </c>
      <c r="K15" s="18">
        <f t="shared" si="1"/>
        <v>57.692307692307693</v>
      </c>
      <c r="L15" s="214">
        <v>26</v>
      </c>
      <c r="M15" s="19">
        <f t="shared" ref="M15:M20" si="16">F15/V15*60</f>
        <v>1438.5</v>
      </c>
      <c r="N15" s="18">
        <f t="shared" si="3"/>
        <v>55.32692307692308</v>
      </c>
      <c r="O15" s="20">
        <f t="shared" si="4"/>
        <v>0</v>
      </c>
      <c r="P15" s="21">
        <f t="shared" si="5"/>
        <v>-2.3653846153846132</v>
      </c>
      <c r="Q15" s="210">
        <f t="shared" si="6"/>
        <v>0.95900000000000007</v>
      </c>
      <c r="R15" s="573">
        <f>Q21</f>
        <v>0.95902345547415602</v>
      </c>
      <c r="S15" s="49">
        <v>0.20833333333333334</v>
      </c>
      <c r="T15" s="49">
        <v>0.2638888888888889</v>
      </c>
      <c r="U15" s="205"/>
      <c r="V15" s="215">
        <f t="shared" ref="V15:V20" si="17">(T15-S15)*24*60</f>
        <v>80</v>
      </c>
      <c r="W15" s="30"/>
      <c r="X15" s="30"/>
      <c r="Y15" s="30"/>
      <c r="Z15" s="30"/>
      <c r="AA15" s="575"/>
      <c r="AB15" s="575"/>
      <c r="AC15" s="50">
        <v>6</v>
      </c>
      <c r="AD15" s="27"/>
      <c r="AE15" s="20">
        <f t="shared" si="8"/>
        <v>-61.5</v>
      </c>
      <c r="AF15" s="210">
        <f t="shared" si="9"/>
        <v>0.95899999999999996</v>
      </c>
      <c r="AG15" s="573">
        <f>AF21</f>
        <v>0.95902345547415602</v>
      </c>
    </row>
    <row r="16" spans="1:33" ht="16.5" customHeight="1">
      <c r="A16" s="601" t="s">
        <v>50</v>
      </c>
      <c r="B16" s="216" t="s">
        <v>94</v>
      </c>
      <c r="C16" s="594" t="s">
        <v>529</v>
      </c>
      <c r="D16" s="594"/>
      <c r="E16" s="39">
        <v>26.18</v>
      </c>
      <c r="F16" s="216">
        <v>7500</v>
      </c>
      <c r="G16" s="205">
        <f t="shared" si="15"/>
        <v>196350</v>
      </c>
      <c r="H16" s="48">
        <v>2</v>
      </c>
      <c r="I16" s="214">
        <v>19</v>
      </c>
      <c r="J16" s="43">
        <v>2400</v>
      </c>
      <c r="K16" s="18">
        <f t="shared" si="1"/>
        <v>126.31578947368421</v>
      </c>
      <c r="L16" s="214">
        <v>19</v>
      </c>
      <c r="M16" s="19">
        <f t="shared" si="16"/>
        <v>2284.2639593908625</v>
      </c>
      <c r="N16" s="18">
        <f t="shared" si="3"/>
        <v>120.22441891530855</v>
      </c>
      <c r="O16" s="20">
        <f t="shared" si="4"/>
        <v>0</v>
      </c>
      <c r="P16" s="21">
        <f t="shared" si="5"/>
        <v>-6.0913705583756581</v>
      </c>
      <c r="Q16" s="210">
        <f t="shared" si="6"/>
        <v>0.95177664974619269</v>
      </c>
      <c r="R16" s="573"/>
      <c r="S16" s="49">
        <v>0.2673611111111111</v>
      </c>
      <c r="T16" s="49">
        <v>0.40416666666666667</v>
      </c>
      <c r="U16" s="205">
        <f t="shared" ref="U16:U20" si="18">IF(S16=TIME(17,0,0),"",(S16-T15)*24*60)</f>
        <v>4.9999999999999822</v>
      </c>
      <c r="V16" s="215">
        <f t="shared" si="17"/>
        <v>197.00000000000003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-115.73604060913749</v>
      </c>
      <c r="AF16" s="210">
        <f t="shared" si="9"/>
        <v>0.95177664974619269</v>
      </c>
      <c r="AG16" s="573"/>
    </row>
    <row r="17" spans="1:33" ht="16.5" customHeight="1">
      <c r="A17" s="601" t="s">
        <v>1111</v>
      </c>
      <c r="B17" s="216" t="s">
        <v>94</v>
      </c>
      <c r="C17" s="594" t="s">
        <v>101</v>
      </c>
      <c r="D17" s="594"/>
      <c r="E17" s="39">
        <v>25.98</v>
      </c>
      <c r="F17" s="216">
        <v>4099</v>
      </c>
      <c r="G17" s="205">
        <f t="shared" si="15"/>
        <v>106492.02</v>
      </c>
      <c r="H17" s="48" t="s">
        <v>126</v>
      </c>
      <c r="I17" s="214">
        <v>19</v>
      </c>
      <c r="J17" s="43">
        <v>2400</v>
      </c>
      <c r="K17" s="18">
        <f t="shared" si="1"/>
        <v>126.31578947368421</v>
      </c>
      <c r="L17" s="214">
        <v>19</v>
      </c>
      <c r="M17" s="19">
        <f t="shared" si="16"/>
        <v>2298.5046728971961</v>
      </c>
      <c r="N17" s="18">
        <f t="shared" si="3"/>
        <v>120.973930152484</v>
      </c>
      <c r="O17" s="20">
        <f t="shared" si="4"/>
        <v>0</v>
      </c>
      <c r="P17" s="21">
        <f t="shared" si="5"/>
        <v>-5.3418593212002037</v>
      </c>
      <c r="Q17" s="210">
        <f t="shared" si="6"/>
        <v>0.95771028037383177</v>
      </c>
      <c r="R17" s="573"/>
      <c r="S17" s="49">
        <v>0.40833333333333333</v>
      </c>
      <c r="T17" s="49">
        <v>0.4826388888888889</v>
      </c>
      <c r="U17" s="205">
        <f t="shared" si="18"/>
        <v>5.9999999999999787</v>
      </c>
      <c r="V17" s="215">
        <f t="shared" si="17"/>
        <v>107.00000000000001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-101.49532710280391</v>
      </c>
      <c r="AF17" s="210">
        <f t="shared" si="9"/>
        <v>0.95771028037383166</v>
      </c>
      <c r="AG17" s="573"/>
    </row>
    <row r="18" spans="1:33" ht="16.5" customHeight="1">
      <c r="A18" s="601" t="s">
        <v>50</v>
      </c>
      <c r="B18" s="216" t="s">
        <v>74</v>
      </c>
      <c r="C18" s="594" t="s">
        <v>85</v>
      </c>
      <c r="D18" s="594"/>
      <c r="E18" s="39">
        <v>53.68</v>
      </c>
      <c r="F18" s="216">
        <v>1375</v>
      </c>
      <c r="G18" s="205">
        <f t="shared" si="15"/>
        <v>73810</v>
      </c>
      <c r="H18" s="48" t="s">
        <v>126</v>
      </c>
      <c r="I18" s="214">
        <v>16</v>
      </c>
      <c r="J18" s="43">
        <v>1500</v>
      </c>
      <c r="K18" s="18">
        <f t="shared" si="1"/>
        <v>93.75</v>
      </c>
      <c r="L18" s="214">
        <v>16</v>
      </c>
      <c r="M18" s="19">
        <f t="shared" si="16"/>
        <v>1447.3684210526326</v>
      </c>
      <c r="N18" s="18">
        <f t="shared" si="3"/>
        <v>90.460526315789537</v>
      </c>
      <c r="O18" s="20">
        <f t="shared" si="4"/>
        <v>0</v>
      </c>
      <c r="P18" s="21">
        <f t="shared" si="5"/>
        <v>-3.2894736842104635</v>
      </c>
      <c r="Q18" s="210">
        <f t="shared" si="6"/>
        <v>0.96491228070175505</v>
      </c>
      <c r="R18" s="573"/>
      <c r="S18" s="49">
        <v>0.70833333333333337</v>
      </c>
      <c r="T18" s="49">
        <v>0.74791666666666667</v>
      </c>
      <c r="U18" s="205" t="str">
        <f t="shared" si="18"/>
        <v/>
      </c>
      <c r="V18" s="215">
        <f t="shared" si="17"/>
        <v>56.999999999999957</v>
      </c>
      <c r="W18" s="25"/>
      <c r="X18" s="25"/>
      <c r="Y18" s="25"/>
      <c r="Z18" s="25"/>
      <c r="AA18" s="575"/>
      <c r="AB18" s="575"/>
      <c r="AC18" s="50"/>
      <c r="AD18" s="27"/>
      <c r="AE18" s="20">
        <f t="shared" si="8"/>
        <v>-52.631578947367416</v>
      </c>
      <c r="AF18" s="210">
        <f t="shared" si="9"/>
        <v>0.96491228070175505</v>
      </c>
      <c r="AG18" s="573"/>
    </row>
    <row r="19" spans="1:33" ht="16.5" customHeight="1">
      <c r="A19" s="601" t="s">
        <v>50</v>
      </c>
      <c r="B19" s="216" t="s">
        <v>74</v>
      </c>
      <c r="C19" s="594" t="s">
        <v>86</v>
      </c>
      <c r="D19" s="594"/>
      <c r="E19" s="39">
        <v>50.92</v>
      </c>
      <c r="F19" s="216">
        <v>2623</v>
      </c>
      <c r="G19" s="205">
        <f t="shared" si="15"/>
        <v>133563.16</v>
      </c>
      <c r="H19" s="48" t="s">
        <v>126</v>
      </c>
      <c r="I19" s="214">
        <v>15</v>
      </c>
      <c r="J19" s="43">
        <v>2000</v>
      </c>
      <c r="K19" s="18">
        <f t="shared" si="1"/>
        <v>133.33333333333334</v>
      </c>
      <c r="L19" s="214">
        <v>15</v>
      </c>
      <c r="M19" s="19">
        <f t="shared" si="16"/>
        <v>1919.2682926829261</v>
      </c>
      <c r="N19" s="18">
        <f t="shared" si="3"/>
        <v>127.95121951219508</v>
      </c>
      <c r="O19" s="20">
        <f t="shared" si="4"/>
        <v>0</v>
      </c>
      <c r="P19" s="21">
        <f t="shared" si="5"/>
        <v>-5.3821138211382618</v>
      </c>
      <c r="Q19" s="210">
        <f t="shared" si="6"/>
        <v>0.95963414634146305</v>
      </c>
      <c r="R19" s="573"/>
      <c r="S19" s="49">
        <v>0.75347222222222221</v>
      </c>
      <c r="T19" s="49">
        <v>0.81041666666666667</v>
      </c>
      <c r="U19" s="205">
        <f t="shared" si="18"/>
        <v>7.9999999999999716</v>
      </c>
      <c r="V19" s="215">
        <f t="shared" si="17"/>
        <v>82.000000000000028</v>
      </c>
      <c r="W19" s="25"/>
      <c r="X19" s="25"/>
      <c r="Y19" s="25"/>
      <c r="Z19" s="25"/>
      <c r="AA19" s="575"/>
      <c r="AB19" s="575"/>
      <c r="AC19" s="50"/>
      <c r="AD19" s="27"/>
      <c r="AE19" s="20">
        <f t="shared" si="8"/>
        <v>-80.731707317073869</v>
      </c>
      <c r="AF19" s="210">
        <f t="shared" si="9"/>
        <v>0.95963414634146305</v>
      </c>
      <c r="AG19" s="573"/>
    </row>
    <row r="20" spans="1:33" ht="16.5" customHeight="1">
      <c r="A20" s="601" t="s">
        <v>50</v>
      </c>
      <c r="B20" s="216" t="s">
        <v>74</v>
      </c>
      <c r="C20" s="212" t="s">
        <v>87</v>
      </c>
      <c r="D20" s="213"/>
      <c r="E20" s="39">
        <v>57.3</v>
      </c>
      <c r="F20" s="216">
        <v>900</v>
      </c>
      <c r="G20" s="205">
        <f t="shared" si="15"/>
        <v>51570</v>
      </c>
      <c r="H20" s="48">
        <v>2</v>
      </c>
      <c r="I20" s="214">
        <v>13</v>
      </c>
      <c r="J20" s="43">
        <v>2000</v>
      </c>
      <c r="K20" s="18">
        <f t="shared" si="1"/>
        <v>153.84615384615384</v>
      </c>
      <c r="L20" s="214">
        <v>13</v>
      </c>
      <c r="M20" s="19">
        <f t="shared" si="16"/>
        <v>1928.5714285714246</v>
      </c>
      <c r="N20" s="18">
        <f t="shared" si="3"/>
        <v>148.35164835164804</v>
      </c>
      <c r="O20" s="20">
        <f t="shared" si="4"/>
        <v>0</v>
      </c>
      <c r="P20" s="21">
        <f t="shared" si="5"/>
        <v>-5.4945054945058018</v>
      </c>
      <c r="Q20" s="210">
        <f t="shared" si="6"/>
        <v>0.9642857142857123</v>
      </c>
      <c r="R20" s="573"/>
      <c r="S20" s="49">
        <v>0.81458333333333333</v>
      </c>
      <c r="T20" s="49">
        <v>0.83402777777777781</v>
      </c>
      <c r="U20" s="205">
        <f t="shared" si="18"/>
        <v>5.9999999999999787</v>
      </c>
      <c r="V20" s="215">
        <f t="shared" si="17"/>
        <v>28.00000000000006</v>
      </c>
      <c r="W20" s="25"/>
      <c r="X20" s="25"/>
      <c r="Y20" s="28"/>
      <c r="Z20" s="28"/>
      <c r="AA20" s="208"/>
      <c r="AB20" s="209"/>
      <c r="AC20" s="50"/>
      <c r="AD20" s="27"/>
      <c r="AE20" s="20">
        <f t="shared" si="8"/>
        <v>-71.428571428575424</v>
      </c>
      <c r="AF20" s="210">
        <f t="shared" si="9"/>
        <v>0.9642857142857123</v>
      </c>
      <c r="AG20" s="573"/>
    </row>
    <row r="21" spans="1:33" ht="16.5" customHeight="1">
      <c r="A21" s="601" t="s">
        <v>1111</v>
      </c>
      <c r="B21" s="39" t="s">
        <v>1112</v>
      </c>
      <c r="C21" s="576"/>
      <c r="D21" s="576"/>
      <c r="E21" s="211"/>
      <c r="F21" s="42"/>
      <c r="G21" s="18"/>
      <c r="H21" s="216"/>
      <c r="I21" s="32">
        <v>18</v>
      </c>
      <c r="J21" s="43">
        <v>1966.6666666666667</v>
      </c>
      <c r="K21" s="18">
        <f t="shared" si="1"/>
        <v>109.25925925925927</v>
      </c>
      <c r="L21" s="32">
        <v>18</v>
      </c>
      <c r="M21" s="19">
        <f>AVERAGE(M15:M20)</f>
        <v>1886.0794624325069</v>
      </c>
      <c r="N21" s="18">
        <f t="shared" si="3"/>
        <v>104.7821923573615</v>
      </c>
      <c r="O21" s="20">
        <f t="shared" si="4"/>
        <v>0</v>
      </c>
      <c r="P21" s="21">
        <f t="shared" si="5"/>
        <v>-4.4770669018977713</v>
      </c>
      <c r="Q21" s="210">
        <f t="shared" si="6"/>
        <v>0.95902345547415602</v>
      </c>
      <c r="R21" s="573"/>
      <c r="S21" s="49"/>
      <c r="T21" s="49"/>
      <c r="U21" s="205"/>
      <c r="V21" s="215"/>
      <c r="W21" s="18"/>
      <c r="X21" s="18"/>
      <c r="Y21" s="33">
        <f>SUM(Y15:Y20)</f>
        <v>0</v>
      </c>
      <c r="Z21" s="33">
        <f>SUM(Z15:Z20)</f>
        <v>0</v>
      </c>
      <c r="AA21" s="572"/>
      <c r="AB21" s="572"/>
      <c r="AC21" s="33">
        <v>6</v>
      </c>
      <c r="AD21" s="33">
        <f>SUM(AD15:AD20)</f>
        <v>0</v>
      </c>
      <c r="AE21" s="20">
        <f t="shared" si="8"/>
        <v>-80.587204234159799</v>
      </c>
      <c r="AF21" s="210">
        <f t="shared" si="9"/>
        <v>0.95902345547415602</v>
      </c>
      <c r="AG21" s="573"/>
    </row>
    <row r="22" spans="1:33" ht="15.75" customHeight="1">
      <c r="A22" s="596" t="s">
        <v>53</v>
      </c>
      <c r="B22" s="39" t="s">
        <v>74</v>
      </c>
      <c r="C22" s="594" t="s">
        <v>84</v>
      </c>
      <c r="D22" s="594"/>
      <c r="E22" s="39">
        <v>54.09</v>
      </c>
      <c r="F22" s="216">
        <v>2782</v>
      </c>
      <c r="G22" s="205">
        <f t="shared" ref="G22:G28" si="19">E22*F22</f>
        <v>150478.38</v>
      </c>
      <c r="H22" s="48" t="s">
        <v>126</v>
      </c>
      <c r="I22" s="214">
        <v>17</v>
      </c>
      <c r="J22" s="43">
        <v>1500</v>
      </c>
      <c r="K22" s="18">
        <f t="shared" si="1"/>
        <v>88.235294117647058</v>
      </c>
      <c r="L22" s="214">
        <v>17</v>
      </c>
      <c r="M22" s="19">
        <f t="shared" ref="M22:M28" si="20">F22/V22*60</f>
        <v>1426.6666666666663</v>
      </c>
      <c r="N22" s="18">
        <f t="shared" si="3"/>
        <v>83.921568627450952</v>
      </c>
      <c r="O22" s="20">
        <f t="shared" si="4"/>
        <v>0</v>
      </c>
      <c r="P22" s="21">
        <f t="shared" si="5"/>
        <v>-4.3137254901961057</v>
      </c>
      <c r="Q22" s="210">
        <f t="shared" si="6"/>
        <v>0.9511111111111108</v>
      </c>
      <c r="R22" s="573">
        <f>Q29</f>
        <v>0.96022329042797683</v>
      </c>
      <c r="S22" s="49">
        <v>0.20833333333333334</v>
      </c>
      <c r="T22" s="49">
        <v>0.28958333333333336</v>
      </c>
      <c r="U22" s="205"/>
      <c r="V22" s="215">
        <f t="shared" ref="V22:V28" si="21">(T22-S22)*24*60</f>
        <v>117.00000000000003</v>
      </c>
      <c r="W22" s="30"/>
      <c r="X22" s="30"/>
      <c r="Y22" s="30"/>
      <c r="Z22" s="30"/>
      <c r="AA22" s="575"/>
      <c r="AB22" s="575"/>
      <c r="AC22" s="50">
        <v>7</v>
      </c>
      <c r="AD22" s="27"/>
      <c r="AE22" s="20">
        <f t="shared" si="8"/>
        <v>-73.333333333333712</v>
      </c>
      <c r="AF22" s="210">
        <f t="shared" si="9"/>
        <v>0.95111111111111091</v>
      </c>
      <c r="AG22" s="573">
        <f>AF29</f>
        <v>0.96022329042797683</v>
      </c>
    </row>
    <row r="23" spans="1:33" ht="15.75" customHeight="1">
      <c r="A23" s="597" t="s">
        <v>1113</v>
      </c>
      <c r="B23" s="39" t="s">
        <v>74</v>
      </c>
      <c r="C23" s="594" t="s">
        <v>89</v>
      </c>
      <c r="D23" s="594"/>
      <c r="E23" s="39">
        <v>50.67</v>
      </c>
      <c r="F23" s="216">
        <v>2604</v>
      </c>
      <c r="G23" s="205">
        <f t="shared" si="19"/>
        <v>131944.68</v>
      </c>
      <c r="H23" s="48" t="s">
        <v>126</v>
      </c>
      <c r="I23" s="214">
        <v>17</v>
      </c>
      <c r="J23" s="43">
        <v>2000</v>
      </c>
      <c r="K23" s="18">
        <f t="shared" si="1"/>
        <v>117.64705882352941</v>
      </c>
      <c r="L23" s="214">
        <v>17</v>
      </c>
      <c r="M23" s="19">
        <f t="shared" si="20"/>
        <v>1905.3658536585358</v>
      </c>
      <c r="N23" s="18">
        <f t="shared" si="3"/>
        <v>112.08034433285505</v>
      </c>
      <c r="O23" s="20">
        <f t="shared" si="4"/>
        <v>0</v>
      </c>
      <c r="P23" s="21">
        <f t="shared" si="5"/>
        <v>-5.5667144906743573</v>
      </c>
      <c r="Q23" s="210">
        <f t="shared" si="6"/>
        <v>0.95268292682926792</v>
      </c>
      <c r="R23" s="573"/>
      <c r="S23" s="49">
        <v>0.29375000000000001</v>
      </c>
      <c r="T23" s="49">
        <v>0.35069444444444448</v>
      </c>
      <c r="U23" s="205">
        <f t="shared" ref="U23:U28" si="22">IF(S23=TIME(17,0,0),"",(S23-T22)*24*60)</f>
        <v>5.9999999999999787</v>
      </c>
      <c r="V23" s="215">
        <f t="shared" si="21"/>
        <v>82.000000000000028</v>
      </c>
      <c r="W23" s="25"/>
      <c r="X23" s="205"/>
      <c r="Y23" s="205"/>
      <c r="Z23" s="205"/>
      <c r="AA23" s="575"/>
      <c r="AB23" s="575"/>
      <c r="AC23" s="50"/>
      <c r="AD23" s="27"/>
      <c r="AE23" s="20">
        <f t="shared" si="8"/>
        <v>-94.634146341464202</v>
      </c>
      <c r="AF23" s="210">
        <f t="shared" si="9"/>
        <v>0.95268292682926792</v>
      </c>
      <c r="AG23" s="573"/>
    </row>
    <row r="24" spans="1:33" ht="15.75" customHeight="1">
      <c r="A24" s="597" t="s">
        <v>53</v>
      </c>
      <c r="B24" s="39" t="s">
        <v>74</v>
      </c>
      <c r="C24" s="594" t="s">
        <v>90</v>
      </c>
      <c r="D24" s="594"/>
      <c r="E24" s="39">
        <v>57.73</v>
      </c>
      <c r="F24" s="216">
        <v>2868</v>
      </c>
      <c r="G24" s="205">
        <f t="shared" si="19"/>
        <v>165569.63999999998</v>
      </c>
      <c r="H24" s="48" t="s">
        <v>126</v>
      </c>
      <c r="I24" s="214">
        <v>14</v>
      </c>
      <c r="J24" s="43">
        <v>2000</v>
      </c>
      <c r="K24" s="18">
        <f t="shared" si="1"/>
        <v>142.85714285714286</v>
      </c>
      <c r="L24" s="214">
        <v>14</v>
      </c>
      <c r="M24" s="19">
        <f t="shared" si="20"/>
        <v>1912</v>
      </c>
      <c r="N24" s="18">
        <f t="shared" si="3"/>
        <v>136.57142857142858</v>
      </c>
      <c r="O24" s="20">
        <f t="shared" si="4"/>
        <v>0</v>
      </c>
      <c r="P24" s="21">
        <f t="shared" si="5"/>
        <v>-6.2857142857142776</v>
      </c>
      <c r="Q24" s="210">
        <f t="shared" si="6"/>
        <v>0.95600000000000007</v>
      </c>
      <c r="R24" s="573"/>
      <c r="S24" s="49">
        <v>0.35416666666666669</v>
      </c>
      <c r="T24" s="49">
        <v>0.41666666666666669</v>
      </c>
      <c r="U24" s="205">
        <f t="shared" si="22"/>
        <v>4.9999999999999822</v>
      </c>
      <c r="V24" s="215">
        <f t="shared" si="21"/>
        <v>90</v>
      </c>
      <c r="W24" s="25"/>
      <c r="X24" s="205"/>
      <c r="Y24" s="205"/>
      <c r="Z24" s="205"/>
      <c r="AA24" s="575"/>
      <c r="AB24" s="575"/>
      <c r="AC24" s="50"/>
      <c r="AD24" s="27"/>
      <c r="AE24" s="20">
        <f t="shared" si="8"/>
        <v>-88</v>
      </c>
      <c r="AF24" s="210">
        <f t="shared" si="9"/>
        <v>0.95599999999999996</v>
      </c>
      <c r="AG24" s="573"/>
    </row>
    <row r="25" spans="1:33" ht="15.75" customHeight="1">
      <c r="A25" s="597" t="s">
        <v>1113</v>
      </c>
      <c r="B25" s="39" t="s">
        <v>74</v>
      </c>
      <c r="C25" s="594" t="s">
        <v>91</v>
      </c>
      <c r="D25" s="594"/>
      <c r="E25" s="39">
        <v>53.68</v>
      </c>
      <c r="F25" s="216">
        <v>1358</v>
      </c>
      <c r="G25" s="205">
        <f t="shared" si="19"/>
        <v>72897.440000000002</v>
      </c>
      <c r="H25" s="48" t="s">
        <v>126</v>
      </c>
      <c r="I25" s="214">
        <v>16</v>
      </c>
      <c r="J25" s="43">
        <v>2000</v>
      </c>
      <c r="K25" s="18">
        <f t="shared" si="1"/>
        <v>125</v>
      </c>
      <c r="L25" s="214">
        <v>16</v>
      </c>
      <c r="M25" s="19">
        <f t="shared" si="20"/>
        <v>1939.9999999999993</v>
      </c>
      <c r="N25" s="18">
        <f t="shared" si="3"/>
        <v>121.24999999999996</v>
      </c>
      <c r="O25" s="20">
        <f t="shared" si="4"/>
        <v>0</v>
      </c>
      <c r="P25" s="21">
        <f t="shared" si="5"/>
        <v>-3.7500000000000426</v>
      </c>
      <c r="Q25" s="210">
        <f t="shared" si="6"/>
        <v>0.96999999999999964</v>
      </c>
      <c r="R25" s="573"/>
      <c r="S25" s="49">
        <v>0.42222222222222222</v>
      </c>
      <c r="T25" s="49">
        <v>0.4513888888888889</v>
      </c>
      <c r="U25" s="205">
        <f t="shared" si="22"/>
        <v>7.9999999999999716</v>
      </c>
      <c r="V25" s="215">
        <f t="shared" si="21"/>
        <v>42.000000000000014</v>
      </c>
      <c r="W25" s="25"/>
      <c r="X25" s="205"/>
      <c r="Y25" s="205"/>
      <c r="Z25" s="205"/>
      <c r="AA25" s="575"/>
      <c r="AB25" s="575"/>
      <c r="AC25" s="50"/>
      <c r="AD25" s="27"/>
      <c r="AE25" s="20">
        <f t="shared" si="8"/>
        <v>-60.000000000000682</v>
      </c>
      <c r="AF25" s="210">
        <f t="shared" si="9"/>
        <v>0.96999999999999964</v>
      </c>
      <c r="AG25" s="573"/>
    </row>
    <row r="26" spans="1:33" ht="15.75" customHeight="1">
      <c r="A26" s="597" t="s">
        <v>53</v>
      </c>
      <c r="B26" s="39" t="s">
        <v>74</v>
      </c>
      <c r="C26" s="594" t="s">
        <v>92</v>
      </c>
      <c r="D26" s="594"/>
      <c r="E26" s="39">
        <v>50.49</v>
      </c>
      <c r="F26" s="216">
        <v>2184</v>
      </c>
      <c r="G26" s="205">
        <f t="shared" si="19"/>
        <v>110270.16</v>
      </c>
      <c r="H26" s="48" t="s">
        <v>126</v>
      </c>
      <c r="I26" s="214">
        <v>15</v>
      </c>
      <c r="J26" s="43">
        <v>2000</v>
      </c>
      <c r="K26" s="18">
        <f t="shared" si="1"/>
        <v>133.33333333333334</v>
      </c>
      <c r="L26" s="214">
        <v>15</v>
      </c>
      <c r="M26" s="19">
        <f t="shared" si="20"/>
        <v>1927.0588235294142</v>
      </c>
      <c r="N26" s="18">
        <f t="shared" si="3"/>
        <v>128.47058823529429</v>
      </c>
      <c r="O26" s="20">
        <f t="shared" si="4"/>
        <v>0</v>
      </c>
      <c r="P26" s="21">
        <f t="shared" si="5"/>
        <v>-4.8627450980390563</v>
      </c>
      <c r="Q26" s="210">
        <f t="shared" si="6"/>
        <v>0.96352941176470708</v>
      </c>
      <c r="R26" s="573"/>
      <c r="S26" s="49">
        <v>0.70833333333333337</v>
      </c>
      <c r="T26" s="49">
        <v>0.75555555555555554</v>
      </c>
      <c r="U26" s="205" t="str">
        <f t="shared" si="22"/>
        <v/>
      </c>
      <c r="V26" s="215">
        <f t="shared" si="21"/>
        <v>67.999999999999915</v>
      </c>
      <c r="W26" s="25"/>
      <c r="X26" s="25"/>
      <c r="Y26" s="205"/>
      <c r="Z26" s="205"/>
      <c r="AA26" s="575"/>
      <c r="AB26" s="575"/>
      <c r="AC26" s="50"/>
      <c r="AD26" s="27"/>
      <c r="AE26" s="20">
        <f t="shared" si="8"/>
        <v>-72.941176470585788</v>
      </c>
      <c r="AF26" s="210">
        <f t="shared" si="9"/>
        <v>0.96352941176470708</v>
      </c>
      <c r="AG26" s="573"/>
    </row>
    <row r="27" spans="1:33" ht="15.75" customHeight="1">
      <c r="A27" s="597" t="s">
        <v>53</v>
      </c>
      <c r="B27" s="39" t="s">
        <v>74</v>
      </c>
      <c r="C27" s="594" t="s">
        <v>93</v>
      </c>
      <c r="D27" s="594"/>
      <c r="E27" s="39">
        <v>50.98</v>
      </c>
      <c r="F27" s="216">
        <v>2695</v>
      </c>
      <c r="G27" s="205">
        <f t="shared" si="19"/>
        <v>137391.1</v>
      </c>
      <c r="H27" s="48" t="s">
        <v>126</v>
      </c>
      <c r="I27" s="214">
        <v>16</v>
      </c>
      <c r="J27" s="43">
        <v>2000</v>
      </c>
      <c r="K27" s="18">
        <f t="shared" si="1"/>
        <v>125</v>
      </c>
      <c r="L27" s="214">
        <v>16</v>
      </c>
      <c r="M27" s="19">
        <f t="shared" si="20"/>
        <v>1924.9999999999993</v>
      </c>
      <c r="N27" s="18">
        <f t="shared" si="3"/>
        <v>120.31249999999996</v>
      </c>
      <c r="O27" s="20">
        <f t="shared" si="4"/>
        <v>0</v>
      </c>
      <c r="P27" s="21">
        <f t="shared" si="5"/>
        <v>-4.6875000000000426</v>
      </c>
      <c r="Q27" s="210">
        <f t="shared" si="6"/>
        <v>0.96249999999999969</v>
      </c>
      <c r="R27" s="573"/>
      <c r="S27" s="49">
        <v>0.76111111111111107</v>
      </c>
      <c r="T27" s="49">
        <v>0.81944444444444442</v>
      </c>
      <c r="U27" s="205">
        <f t="shared" si="22"/>
        <v>7.9999999999999716</v>
      </c>
      <c r="V27" s="215">
        <f t="shared" si="21"/>
        <v>84.000000000000028</v>
      </c>
      <c r="W27" s="25"/>
      <c r="X27" s="30"/>
      <c r="Y27" s="30"/>
      <c r="Z27" s="30"/>
      <c r="AA27" s="575"/>
      <c r="AB27" s="575"/>
      <c r="AC27" s="50"/>
      <c r="AD27" s="27"/>
      <c r="AE27" s="20">
        <f t="shared" si="8"/>
        <v>-75.000000000000682</v>
      </c>
      <c r="AF27" s="210">
        <f t="shared" si="9"/>
        <v>0.96249999999999969</v>
      </c>
      <c r="AG27" s="573"/>
    </row>
    <row r="28" spans="1:33" ht="15.75" customHeight="1">
      <c r="A28" s="597" t="s">
        <v>1113</v>
      </c>
      <c r="B28" s="39" t="s">
        <v>74</v>
      </c>
      <c r="C28" s="630" t="s">
        <v>87</v>
      </c>
      <c r="D28" s="631"/>
      <c r="E28" s="39">
        <v>57.3</v>
      </c>
      <c r="F28" s="216">
        <v>835</v>
      </c>
      <c r="G28" s="205">
        <f t="shared" si="19"/>
        <v>47845.5</v>
      </c>
      <c r="H28" s="48" t="s">
        <v>126</v>
      </c>
      <c r="I28" s="214">
        <v>13</v>
      </c>
      <c r="J28" s="43">
        <v>2000</v>
      </c>
      <c r="K28" s="18">
        <f t="shared" si="1"/>
        <v>153.84615384615384</v>
      </c>
      <c r="L28" s="214">
        <v>13</v>
      </c>
      <c r="M28" s="19">
        <f t="shared" si="20"/>
        <v>1926.9230769230721</v>
      </c>
      <c r="N28" s="18">
        <f t="shared" si="3"/>
        <v>148.22485207100556</v>
      </c>
      <c r="O28" s="20">
        <f t="shared" si="4"/>
        <v>0</v>
      </c>
      <c r="P28" s="21">
        <f t="shared" si="5"/>
        <v>-5.6213017751482823</v>
      </c>
      <c r="Q28" s="210">
        <f t="shared" si="6"/>
        <v>0.96346153846153615</v>
      </c>
      <c r="R28" s="573"/>
      <c r="S28" s="49">
        <v>0.82291666666666663</v>
      </c>
      <c r="T28" s="49">
        <v>0.84097222222222223</v>
      </c>
      <c r="U28" s="205">
        <f t="shared" si="22"/>
        <v>4.9999999999999822</v>
      </c>
      <c r="V28" s="215">
        <f t="shared" si="21"/>
        <v>26.000000000000068</v>
      </c>
      <c r="W28" s="25"/>
      <c r="X28" s="30"/>
      <c r="Y28" s="31"/>
      <c r="Z28" s="31"/>
      <c r="AA28" s="568"/>
      <c r="AB28" s="569"/>
      <c r="AC28" s="50"/>
      <c r="AD28" s="27"/>
      <c r="AE28" s="20">
        <f t="shared" si="8"/>
        <v>-73.076923076927869</v>
      </c>
      <c r="AF28" s="210">
        <f t="shared" si="9"/>
        <v>0.96346153846153604</v>
      </c>
      <c r="AG28" s="573"/>
    </row>
    <row r="29" spans="1:33" ht="15.75" customHeight="1">
      <c r="A29" s="597" t="s">
        <v>53</v>
      </c>
      <c r="B29" s="39" t="s">
        <v>46</v>
      </c>
      <c r="C29" s="576"/>
      <c r="D29" s="576"/>
      <c r="E29" s="211"/>
      <c r="F29" s="216"/>
      <c r="G29" s="205"/>
      <c r="H29" s="216"/>
      <c r="I29" s="32">
        <v>15.428571428571429</v>
      </c>
      <c r="J29" s="43">
        <v>1928.5714285714287</v>
      </c>
      <c r="K29" s="18">
        <f t="shared" si="1"/>
        <v>125</v>
      </c>
      <c r="L29" s="32">
        <v>15.428571428571429</v>
      </c>
      <c r="M29" s="19">
        <f>AVERAGE(M22:M28)</f>
        <v>1851.8592029682411</v>
      </c>
      <c r="N29" s="18">
        <f t="shared" si="3"/>
        <v>120.02791130349711</v>
      </c>
      <c r="O29" s="20">
        <f t="shared" si="4"/>
        <v>0</v>
      </c>
      <c r="P29" s="21">
        <f t="shared" si="5"/>
        <v>-4.9720886965028939</v>
      </c>
      <c r="Q29" s="210">
        <f t="shared" si="6"/>
        <v>0.96022329042797683</v>
      </c>
      <c r="R29" s="573"/>
      <c r="S29" s="49"/>
      <c r="T29" s="49"/>
      <c r="U29" s="18"/>
      <c r="V29" s="215"/>
      <c r="W29" s="18"/>
      <c r="X29" s="18"/>
      <c r="Y29" s="33">
        <f>SUM(Y22:Y28)</f>
        <v>0</v>
      </c>
      <c r="Z29" s="33">
        <f>SUM(Z22:Z28)</f>
        <v>0</v>
      </c>
      <c r="AA29" s="572"/>
      <c r="AB29" s="572"/>
      <c r="AC29" s="33">
        <v>7</v>
      </c>
      <c r="AD29" s="33">
        <f>SUM(AD22:AD28)</f>
        <v>0</v>
      </c>
      <c r="AE29" s="20">
        <f t="shared" si="8"/>
        <v>-76.712225603187562</v>
      </c>
      <c r="AF29" s="210">
        <f t="shared" si="9"/>
        <v>0.96022329042797683</v>
      </c>
      <c r="AG29" s="573"/>
    </row>
    <row r="30" spans="1:33" ht="15.75" customHeight="1">
      <c r="A30" s="595" t="s">
        <v>1114</v>
      </c>
      <c r="B30" s="39" t="s">
        <v>94</v>
      </c>
      <c r="C30" s="594" t="s">
        <v>95</v>
      </c>
      <c r="D30" s="594"/>
      <c r="E30" s="39">
        <v>31.29</v>
      </c>
      <c r="F30" s="216">
        <v>8500</v>
      </c>
      <c r="G30" s="205">
        <v>265965</v>
      </c>
      <c r="H30" s="48">
        <v>2</v>
      </c>
      <c r="I30" s="214">
        <v>18</v>
      </c>
      <c r="J30" s="43">
        <v>2400</v>
      </c>
      <c r="K30" s="18">
        <f t="shared" si="1"/>
        <v>133.33333333333334</v>
      </c>
      <c r="L30" s="214">
        <v>18</v>
      </c>
      <c r="M30" s="19">
        <f t="shared" ref="M30:M36" si="23">F30/V30*60</f>
        <v>2286.9955156950673</v>
      </c>
      <c r="N30" s="18">
        <f t="shared" si="3"/>
        <v>127.05530642750374</v>
      </c>
      <c r="O30" s="20">
        <f t="shared" si="4"/>
        <v>0</v>
      </c>
      <c r="P30" s="21">
        <f t="shared" si="5"/>
        <v>-6.2780269058296057</v>
      </c>
      <c r="Q30" s="210">
        <f t="shared" si="6"/>
        <v>0.952914798206278</v>
      </c>
      <c r="R30" s="573">
        <f>Q37</f>
        <v>0.95659615305418655</v>
      </c>
      <c r="S30" s="49">
        <v>8.3333333333333329E-2</v>
      </c>
      <c r="T30" s="49">
        <v>0.23819444444444443</v>
      </c>
      <c r="U30" s="205"/>
      <c r="V30" s="215">
        <f t="shared" ref="V30:V36" si="24">(T30-S30)*24*60</f>
        <v>223</v>
      </c>
      <c r="W30" s="25">
        <f>T30</f>
        <v>0.23819444444444443</v>
      </c>
      <c r="X30" s="25">
        <f>S31</f>
        <v>0.25902777777777775</v>
      </c>
      <c r="Y30" s="25"/>
      <c r="Z30" s="25"/>
      <c r="AA30" s="575"/>
      <c r="AB30" s="575"/>
      <c r="AC30" s="50">
        <v>7</v>
      </c>
      <c r="AD30" s="27"/>
      <c r="AE30" s="20">
        <f t="shared" si="8"/>
        <v>-113.0044843049327</v>
      </c>
      <c r="AF30" s="210">
        <f t="shared" si="9"/>
        <v>0.952914798206278</v>
      </c>
      <c r="AG30" s="573">
        <f>AF37</f>
        <v>0.95659615305418655</v>
      </c>
    </row>
    <row r="31" spans="1:33" ht="15.75" customHeight="1">
      <c r="A31" s="595" t="s">
        <v>55</v>
      </c>
      <c r="B31" s="39" t="s">
        <v>94</v>
      </c>
      <c r="C31" s="594" t="s">
        <v>97</v>
      </c>
      <c r="D31" s="594"/>
      <c r="E31" s="39">
        <v>26.37</v>
      </c>
      <c r="F31" s="216">
        <v>4400</v>
      </c>
      <c r="G31" s="205">
        <v>116028</v>
      </c>
      <c r="H31" s="48">
        <v>2</v>
      </c>
      <c r="I31" s="214">
        <v>19</v>
      </c>
      <c r="J31" s="43">
        <v>2400</v>
      </c>
      <c r="K31" s="18">
        <f t="shared" si="1"/>
        <v>126.31578947368421</v>
      </c>
      <c r="L31" s="214">
        <v>19</v>
      </c>
      <c r="M31" s="19">
        <f t="shared" si="23"/>
        <v>2295.652173913044</v>
      </c>
      <c r="N31" s="18">
        <f t="shared" si="3"/>
        <v>120.82379862700232</v>
      </c>
      <c r="O31" s="20">
        <f t="shared" si="4"/>
        <v>0</v>
      </c>
      <c r="P31" s="21">
        <f t="shared" si="5"/>
        <v>-5.4919908466818868</v>
      </c>
      <c r="Q31" s="210">
        <f t="shared" si="6"/>
        <v>0.95652173913043503</v>
      </c>
      <c r="R31" s="573"/>
      <c r="S31" s="49">
        <v>0.25902777777777775</v>
      </c>
      <c r="T31" s="49">
        <v>0.33888888888888885</v>
      </c>
      <c r="U31" s="205">
        <f t="shared" ref="U31:U36" si="25">(S31-T30)*24*60</f>
        <v>29.999999999999972</v>
      </c>
      <c r="V31" s="215">
        <f t="shared" si="24"/>
        <v>114.99999999999999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-104.34782608695605</v>
      </c>
      <c r="AF31" s="210">
        <f t="shared" si="9"/>
        <v>0.95652173913043503</v>
      </c>
      <c r="AG31" s="573"/>
    </row>
    <row r="32" spans="1:33" ht="15.75" customHeight="1">
      <c r="A32" s="595" t="s">
        <v>55</v>
      </c>
      <c r="B32" s="39" t="s">
        <v>94</v>
      </c>
      <c r="C32" s="594" t="s">
        <v>98</v>
      </c>
      <c r="D32" s="594"/>
      <c r="E32" s="39">
        <v>25.99</v>
      </c>
      <c r="F32" s="216">
        <v>3400</v>
      </c>
      <c r="G32" s="205">
        <v>88366</v>
      </c>
      <c r="H32" s="48">
        <v>2</v>
      </c>
      <c r="I32" s="214">
        <v>14</v>
      </c>
      <c r="J32" s="43">
        <v>2400</v>
      </c>
      <c r="K32" s="18">
        <f t="shared" si="1"/>
        <v>171.42857142857142</v>
      </c>
      <c r="L32" s="214">
        <v>14</v>
      </c>
      <c r="M32" s="19">
        <f t="shared" si="23"/>
        <v>2292.1348314606744</v>
      </c>
      <c r="N32" s="18">
        <f t="shared" si="3"/>
        <v>163.72391653290532</v>
      </c>
      <c r="O32" s="20">
        <f t="shared" si="4"/>
        <v>0</v>
      </c>
      <c r="P32" s="21">
        <f t="shared" si="5"/>
        <v>-7.7046548956660956</v>
      </c>
      <c r="Q32" s="210">
        <f t="shared" si="6"/>
        <v>0.95505617977528112</v>
      </c>
      <c r="R32" s="573"/>
      <c r="S32" s="49">
        <v>0.34374999999999994</v>
      </c>
      <c r="T32" s="49">
        <v>0.4055555555555555</v>
      </c>
      <c r="U32" s="205">
        <f t="shared" si="25"/>
        <v>6.9999999999999751</v>
      </c>
      <c r="V32" s="215">
        <f t="shared" si="24"/>
        <v>89</v>
      </c>
      <c r="W32" s="25"/>
      <c r="X32" s="25"/>
      <c r="Y32" s="25"/>
      <c r="Z32" s="25"/>
      <c r="AA32" s="575"/>
      <c r="AB32" s="575"/>
      <c r="AC32" s="50"/>
      <c r="AD32" s="27"/>
      <c r="AE32" s="20">
        <f t="shared" si="8"/>
        <v>-107.86516853932562</v>
      </c>
      <c r="AF32" s="210">
        <f t="shared" si="9"/>
        <v>0.95505617977528101</v>
      </c>
      <c r="AG32" s="573"/>
    </row>
    <row r="33" spans="1:33" ht="15.75" customHeight="1">
      <c r="A33" s="595" t="s">
        <v>55</v>
      </c>
      <c r="B33" s="39" t="s">
        <v>94</v>
      </c>
      <c r="C33" s="594" t="s">
        <v>103</v>
      </c>
      <c r="D33" s="594"/>
      <c r="E33" s="39">
        <v>20.2</v>
      </c>
      <c r="F33" s="216">
        <v>2873</v>
      </c>
      <c r="G33" s="205">
        <v>58034.6</v>
      </c>
      <c r="H33" s="48" t="s">
        <v>126</v>
      </c>
      <c r="I33" s="214">
        <v>15</v>
      </c>
      <c r="J33" s="43">
        <v>2400</v>
      </c>
      <c r="K33" s="18">
        <f t="shared" si="1"/>
        <v>160</v>
      </c>
      <c r="L33" s="214">
        <v>15</v>
      </c>
      <c r="M33" s="19">
        <f t="shared" si="23"/>
        <v>2298.4000000000005</v>
      </c>
      <c r="N33" s="18">
        <f t="shared" si="3"/>
        <v>153.22666666666672</v>
      </c>
      <c r="O33" s="20">
        <f t="shared" si="4"/>
        <v>0</v>
      </c>
      <c r="P33" s="21">
        <f t="shared" si="5"/>
        <v>-6.7733333333332837</v>
      </c>
      <c r="Q33" s="210">
        <f t="shared" si="6"/>
        <v>0.957666666666667</v>
      </c>
      <c r="R33" s="573"/>
      <c r="S33" s="49">
        <v>0.40972222222222215</v>
      </c>
      <c r="T33" s="49">
        <v>0.46180555555555547</v>
      </c>
      <c r="U33" s="205">
        <f t="shared" si="25"/>
        <v>5.9999999999999787</v>
      </c>
      <c r="V33" s="215">
        <f t="shared" si="24"/>
        <v>74.999999999999972</v>
      </c>
      <c r="W33" s="25">
        <f>T33</f>
        <v>0.46180555555555547</v>
      </c>
      <c r="X33" s="25">
        <f>S34</f>
        <v>0.50069444444444433</v>
      </c>
      <c r="Y33" s="25"/>
      <c r="Z33" s="25"/>
      <c r="AA33" s="575"/>
      <c r="AB33" s="575"/>
      <c r="AC33" s="50"/>
      <c r="AD33" s="27"/>
      <c r="AE33" s="20">
        <f t="shared" si="8"/>
        <v>-101.59999999999945</v>
      </c>
      <c r="AF33" s="210">
        <f t="shared" si="9"/>
        <v>0.95766666666666689</v>
      </c>
      <c r="AG33" s="573"/>
    </row>
    <row r="34" spans="1:33" ht="15.75" customHeight="1">
      <c r="A34" s="595" t="s">
        <v>55</v>
      </c>
      <c r="B34" s="39" t="s">
        <v>94</v>
      </c>
      <c r="C34" s="594" t="s">
        <v>95</v>
      </c>
      <c r="D34" s="594"/>
      <c r="E34" s="39">
        <v>31.29</v>
      </c>
      <c r="F34" s="216">
        <v>5249</v>
      </c>
      <c r="G34" s="205">
        <v>164241.21</v>
      </c>
      <c r="H34" s="48" t="s">
        <v>126</v>
      </c>
      <c r="I34" s="214">
        <v>18</v>
      </c>
      <c r="J34" s="43">
        <v>2400</v>
      </c>
      <c r="K34" s="18">
        <f t="shared" si="1"/>
        <v>133.33333333333334</v>
      </c>
      <c r="L34" s="214">
        <v>18</v>
      </c>
      <c r="M34" s="19">
        <f t="shared" si="23"/>
        <v>2282.173913043478</v>
      </c>
      <c r="N34" s="18">
        <f t="shared" si="3"/>
        <v>126.78743961352656</v>
      </c>
      <c r="O34" s="20">
        <f t="shared" si="4"/>
        <v>0</v>
      </c>
      <c r="P34" s="21">
        <f t="shared" si="5"/>
        <v>-6.5458937198067844</v>
      </c>
      <c r="Q34" s="210">
        <f t="shared" si="6"/>
        <v>0.95090579710144907</v>
      </c>
      <c r="R34" s="573"/>
      <c r="S34" s="49">
        <v>0.50069444444444433</v>
      </c>
      <c r="T34" s="49">
        <v>0.59652777777777766</v>
      </c>
      <c r="U34" s="205">
        <f t="shared" si="25"/>
        <v>55.999999999999957</v>
      </c>
      <c r="V34" s="215">
        <f t="shared" si="24"/>
        <v>138</v>
      </c>
      <c r="W34" s="25"/>
      <c r="X34" s="25"/>
      <c r="Y34" s="25"/>
      <c r="Z34" s="25"/>
      <c r="AA34" s="575"/>
      <c r="AB34" s="575"/>
      <c r="AC34" s="50"/>
      <c r="AD34" s="27"/>
      <c r="AE34" s="20">
        <f t="shared" si="8"/>
        <v>-117.82608695652198</v>
      </c>
      <c r="AF34" s="210">
        <f t="shared" si="9"/>
        <v>0.95090579710144918</v>
      </c>
      <c r="AG34" s="573"/>
    </row>
    <row r="35" spans="1:33" ht="15.75" customHeight="1">
      <c r="A35" s="595" t="s">
        <v>55</v>
      </c>
      <c r="B35" s="39" t="s">
        <v>94</v>
      </c>
      <c r="C35" s="594" t="s">
        <v>98</v>
      </c>
      <c r="D35" s="594"/>
      <c r="E35" s="39">
        <v>25.99</v>
      </c>
      <c r="F35" s="216">
        <v>2650</v>
      </c>
      <c r="G35" s="205">
        <v>68873.5</v>
      </c>
      <c r="H35" s="48" t="s">
        <v>126</v>
      </c>
      <c r="I35" s="214">
        <v>14</v>
      </c>
      <c r="J35" s="43">
        <v>2400</v>
      </c>
      <c r="K35" s="18">
        <f t="shared" si="1"/>
        <v>171.42857142857142</v>
      </c>
      <c r="L35" s="214">
        <v>14</v>
      </c>
      <c r="M35" s="19">
        <f t="shared" si="23"/>
        <v>2304.3478260869592</v>
      </c>
      <c r="N35" s="18">
        <f t="shared" si="3"/>
        <v>164.59627329192566</v>
      </c>
      <c r="O35" s="20">
        <f t="shared" si="4"/>
        <v>0</v>
      </c>
      <c r="P35" s="21">
        <f t="shared" si="5"/>
        <v>-6.8322981366457611</v>
      </c>
      <c r="Q35" s="210">
        <f t="shared" si="6"/>
        <v>0.96014492753623304</v>
      </c>
      <c r="R35" s="573"/>
      <c r="S35" s="49">
        <v>0.59999999999999987</v>
      </c>
      <c r="T35" s="49">
        <v>0.64791666666666647</v>
      </c>
      <c r="U35" s="205">
        <f t="shared" si="25"/>
        <v>4.9999999999999822</v>
      </c>
      <c r="V35" s="215">
        <f t="shared" si="24"/>
        <v>68.999999999999915</v>
      </c>
      <c r="W35" s="25"/>
      <c r="X35" s="25"/>
      <c r="Y35" s="25"/>
      <c r="Z35" s="25"/>
      <c r="AA35" s="575"/>
      <c r="AB35" s="575"/>
      <c r="AC35" s="50"/>
      <c r="AD35" s="27"/>
      <c r="AE35" s="20">
        <f t="shared" si="8"/>
        <v>-95.65217391304077</v>
      </c>
      <c r="AF35" s="210">
        <f t="shared" si="9"/>
        <v>0.96014492753623304</v>
      </c>
      <c r="AG35" s="573"/>
    </row>
    <row r="36" spans="1:33" ht="15.75" customHeight="1">
      <c r="A36" s="595" t="s">
        <v>55</v>
      </c>
      <c r="B36" s="39" t="s">
        <v>94</v>
      </c>
      <c r="C36" s="594" t="s">
        <v>97</v>
      </c>
      <c r="D36" s="594"/>
      <c r="E36" s="39">
        <v>26.37</v>
      </c>
      <c r="F36" s="216">
        <v>3120</v>
      </c>
      <c r="G36" s="205">
        <v>82274.400000000009</v>
      </c>
      <c r="H36" s="48" t="s">
        <v>126</v>
      </c>
      <c r="I36" s="214">
        <v>19</v>
      </c>
      <c r="J36" s="43">
        <v>2400</v>
      </c>
      <c r="K36" s="18">
        <f t="shared" si="1"/>
        <v>126.31578947368421</v>
      </c>
      <c r="L36" s="214">
        <v>19</v>
      </c>
      <c r="M36" s="19">
        <f t="shared" si="23"/>
        <v>2311.1111111111104</v>
      </c>
      <c r="N36" s="18">
        <f t="shared" si="3"/>
        <v>121.63742690058476</v>
      </c>
      <c r="O36" s="20">
        <f t="shared" si="4"/>
        <v>0</v>
      </c>
      <c r="P36" s="21">
        <f t="shared" si="5"/>
        <v>-4.6783625730994487</v>
      </c>
      <c r="Q36" s="210">
        <f t="shared" si="6"/>
        <v>0.96296296296296269</v>
      </c>
      <c r="R36" s="573"/>
      <c r="S36" s="49">
        <v>0.65277777777777757</v>
      </c>
      <c r="T36" s="49">
        <v>0.70902777777777759</v>
      </c>
      <c r="U36" s="205">
        <f t="shared" si="25"/>
        <v>6.9999999999999751</v>
      </c>
      <c r="V36" s="215">
        <f t="shared" si="24"/>
        <v>81.000000000000028</v>
      </c>
      <c r="W36" s="25"/>
      <c r="X36" s="25"/>
      <c r="Y36" s="25"/>
      <c r="Z36" s="25"/>
      <c r="AA36" s="575"/>
      <c r="AB36" s="575"/>
      <c r="AC36" s="50"/>
      <c r="AD36" s="27"/>
      <c r="AE36" s="20">
        <f t="shared" si="8"/>
        <v>-88.888888888889596</v>
      </c>
      <c r="AF36" s="210">
        <f t="shared" si="9"/>
        <v>0.96296296296296269</v>
      </c>
      <c r="AG36" s="573"/>
    </row>
    <row r="37" spans="1:33" ht="15.75" customHeight="1">
      <c r="A37" s="595" t="s">
        <v>55</v>
      </c>
      <c r="B37" s="39" t="s">
        <v>1115</v>
      </c>
      <c r="C37" s="576"/>
      <c r="D37" s="576"/>
      <c r="E37" s="211"/>
      <c r="F37" s="216"/>
      <c r="G37" s="205"/>
      <c r="H37" s="216"/>
      <c r="I37" s="32">
        <v>16.714285714285715</v>
      </c>
      <c r="J37" s="43">
        <v>2400</v>
      </c>
      <c r="K37" s="18">
        <f t="shared" si="1"/>
        <v>143.58974358974359</v>
      </c>
      <c r="L37" s="32">
        <v>16.714285714285715</v>
      </c>
      <c r="M37" s="19">
        <f>AVERAGE(M30:M36)</f>
        <v>2295.8307673300478</v>
      </c>
      <c r="N37" s="18">
        <f t="shared" si="3"/>
        <v>137.35739633598575</v>
      </c>
      <c r="O37" s="20">
        <f t="shared" si="4"/>
        <v>0</v>
      </c>
      <c r="P37" s="21">
        <f t="shared" si="5"/>
        <v>-6.2323472537578368</v>
      </c>
      <c r="Q37" s="210">
        <f t="shared" si="6"/>
        <v>0.95659615305418655</v>
      </c>
      <c r="R37" s="573"/>
      <c r="S37" s="49"/>
      <c r="T37" s="49"/>
      <c r="U37" s="205"/>
      <c r="V37" s="215"/>
      <c r="W37" s="205"/>
      <c r="X37" s="205"/>
      <c r="Y37" s="33">
        <f>SUM(Y30:Y36)</f>
        <v>0</v>
      </c>
      <c r="Z37" s="33">
        <f>SUM(Z30:Z36)</f>
        <v>0</v>
      </c>
      <c r="AA37" s="572"/>
      <c r="AB37" s="572"/>
      <c r="AC37" s="33">
        <v>7</v>
      </c>
      <c r="AD37" s="33">
        <f>SUM(AD30:AD36)</f>
        <v>0</v>
      </c>
      <c r="AE37" s="20">
        <f t="shared" si="8"/>
        <v>-104.16923266995218</v>
      </c>
      <c r="AF37" s="210">
        <f t="shared" si="9"/>
        <v>0.95659615305418655</v>
      </c>
      <c r="AG37" s="573"/>
    </row>
    <row r="38" spans="1:33" ht="15.75" customHeight="1">
      <c r="A38" s="592" t="s">
        <v>58</v>
      </c>
      <c r="B38" s="39" t="s">
        <v>94</v>
      </c>
      <c r="C38" s="574" t="s">
        <v>530</v>
      </c>
      <c r="D38" s="574"/>
      <c r="E38" s="39">
        <v>26.18</v>
      </c>
      <c r="F38" s="216">
        <v>5600</v>
      </c>
      <c r="G38" s="205">
        <f t="shared" ref="G38:G44" si="26">E38*F38</f>
        <v>146608</v>
      </c>
      <c r="H38" s="48">
        <v>2</v>
      </c>
      <c r="I38" s="214">
        <v>21</v>
      </c>
      <c r="J38" s="43">
        <v>2400</v>
      </c>
      <c r="K38" s="18">
        <f t="shared" si="1"/>
        <v>114.28571428571429</v>
      </c>
      <c r="L38" s="214">
        <v>21</v>
      </c>
      <c r="M38" s="19">
        <f t="shared" ref="M38:M44" si="27">F38/V38*60</f>
        <v>2285.7142857142858</v>
      </c>
      <c r="N38" s="18">
        <f t="shared" si="3"/>
        <v>108.84353741496599</v>
      </c>
      <c r="O38" s="20">
        <f t="shared" si="4"/>
        <v>0</v>
      </c>
      <c r="P38" s="21">
        <f t="shared" si="5"/>
        <v>-5.4421768707482983</v>
      </c>
      <c r="Q38" s="210">
        <f t="shared" si="6"/>
        <v>0.95238095238095244</v>
      </c>
      <c r="R38" s="573">
        <f>Q45</f>
        <v>0.9530861186379791</v>
      </c>
      <c r="S38" s="49">
        <v>8.3333333333333329E-2</v>
      </c>
      <c r="T38" s="49">
        <v>0.18541666666666667</v>
      </c>
      <c r="U38" s="205"/>
      <c r="V38" s="215">
        <f t="shared" ref="V38:V44" si="28">(T38-S38)*24*60</f>
        <v>147</v>
      </c>
      <c r="W38" s="30">
        <f>T38</f>
        <v>0.18541666666666667</v>
      </c>
      <c r="X38" s="30">
        <f>S39</f>
        <v>0.20555555555555557</v>
      </c>
      <c r="Y38" s="30"/>
      <c r="Z38" s="30"/>
      <c r="AA38" s="575"/>
      <c r="AB38" s="575"/>
      <c r="AC38" s="50">
        <v>7</v>
      </c>
      <c r="AD38" s="27"/>
      <c r="AE38" s="20">
        <f t="shared" si="8"/>
        <v>-114.28571428571422</v>
      </c>
      <c r="AF38" s="210">
        <f t="shared" si="9"/>
        <v>0.95238095238095244</v>
      </c>
      <c r="AG38" s="573">
        <f>AF45</f>
        <v>0.9530861186379791</v>
      </c>
    </row>
    <row r="39" spans="1:33" ht="15.75" customHeight="1">
      <c r="A39" s="592" t="s">
        <v>58</v>
      </c>
      <c r="B39" s="39" t="s">
        <v>94</v>
      </c>
      <c r="C39" s="574" t="s">
        <v>100</v>
      </c>
      <c r="D39" s="574"/>
      <c r="E39" s="39">
        <v>24.43</v>
      </c>
      <c r="F39" s="216">
        <v>5100</v>
      </c>
      <c r="G39" s="205">
        <f t="shared" si="26"/>
        <v>124593</v>
      </c>
      <c r="H39" s="48">
        <v>2</v>
      </c>
      <c r="I39" s="214">
        <v>14</v>
      </c>
      <c r="J39" s="43">
        <v>2400</v>
      </c>
      <c r="K39" s="18">
        <f t="shared" si="1"/>
        <v>171.42857142857142</v>
      </c>
      <c r="L39" s="214">
        <v>14</v>
      </c>
      <c r="M39" s="19">
        <f t="shared" si="27"/>
        <v>2283.5820895522379</v>
      </c>
      <c r="N39" s="18">
        <f t="shared" si="3"/>
        <v>163.11300639658842</v>
      </c>
      <c r="O39" s="20">
        <f t="shared" si="4"/>
        <v>0</v>
      </c>
      <c r="P39" s="21">
        <f t="shared" si="5"/>
        <v>-8.3155650319829988</v>
      </c>
      <c r="Q39" s="210">
        <f t="shared" si="6"/>
        <v>0.95149253731343253</v>
      </c>
      <c r="R39" s="573"/>
      <c r="S39" s="49">
        <v>0.20555555555555557</v>
      </c>
      <c r="T39" s="49">
        <v>0.29861111111111116</v>
      </c>
      <c r="U39" s="205">
        <f t="shared" ref="U39:U44" si="29">(S39-T38)*24*60</f>
        <v>29.000000000000018</v>
      </c>
      <c r="V39" s="215">
        <f t="shared" si="28"/>
        <v>134.00000000000006</v>
      </c>
      <c r="W39" s="205"/>
      <c r="X39" s="205"/>
      <c r="Y39" s="205"/>
      <c r="Z39" s="205"/>
      <c r="AA39" s="575"/>
      <c r="AB39" s="575"/>
      <c r="AC39" s="50"/>
      <c r="AD39" s="27"/>
      <c r="AE39" s="20">
        <f t="shared" si="8"/>
        <v>-116.4179104477621</v>
      </c>
      <c r="AF39" s="210">
        <f t="shared" si="9"/>
        <v>0.95149253731343242</v>
      </c>
      <c r="AG39" s="573"/>
    </row>
    <row r="40" spans="1:33">
      <c r="A40" s="593" t="s">
        <v>1116</v>
      </c>
      <c r="B40" s="39" t="s">
        <v>94</v>
      </c>
      <c r="C40" s="574" t="s">
        <v>102</v>
      </c>
      <c r="D40" s="574"/>
      <c r="E40" s="39">
        <v>34.1</v>
      </c>
      <c r="F40" s="216">
        <v>4400</v>
      </c>
      <c r="G40" s="205">
        <f t="shared" si="26"/>
        <v>150040</v>
      </c>
      <c r="H40" s="48">
        <v>2</v>
      </c>
      <c r="I40" s="214">
        <v>18</v>
      </c>
      <c r="J40" s="43">
        <v>1600</v>
      </c>
      <c r="K40" s="18">
        <f t="shared" si="1"/>
        <v>88.888888888888886</v>
      </c>
      <c r="L40" s="214">
        <v>18</v>
      </c>
      <c r="M40" s="19">
        <f t="shared" si="27"/>
        <v>1526.0115606936415</v>
      </c>
      <c r="N40" s="18">
        <f t="shared" si="3"/>
        <v>84.778420038535643</v>
      </c>
      <c r="O40" s="20">
        <f t="shared" si="4"/>
        <v>0</v>
      </c>
      <c r="P40" s="21">
        <f t="shared" si="5"/>
        <v>-4.1104688503532429</v>
      </c>
      <c r="Q40" s="210">
        <f t="shared" si="6"/>
        <v>0.95375722543352603</v>
      </c>
      <c r="R40" s="573"/>
      <c r="S40" s="49">
        <v>0.30347222222222225</v>
      </c>
      <c r="T40" s="49">
        <v>0.42361111111111116</v>
      </c>
      <c r="U40" s="205">
        <f t="shared" si="29"/>
        <v>6.9999999999999751</v>
      </c>
      <c r="V40" s="215">
        <f t="shared" si="28"/>
        <v>173.00000000000003</v>
      </c>
      <c r="W40" s="205"/>
      <c r="X40" s="205"/>
      <c r="Y40" s="205"/>
      <c r="Z40" s="205"/>
      <c r="AA40" s="575"/>
      <c r="AB40" s="575"/>
      <c r="AC40" s="50"/>
      <c r="AD40" s="27"/>
      <c r="AE40" s="20">
        <f t="shared" si="8"/>
        <v>-73.988439306358487</v>
      </c>
      <c r="AF40" s="210">
        <f t="shared" si="9"/>
        <v>0.95375722543352592</v>
      </c>
      <c r="AG40" s="573"/>
    </row>
    <row r="41" spans="1:33">
      <c r="A41" s="593" t="s">
        <v>1116</v>
      </c>
      <c r="B41" s="39" t="s">
        <v>94</v>
      </c>
      <c r="C41" s="574" t="s">
        <v>122</v>
      </c>
      <c r="D41" s="574"/>
      <c r="E41" s="39">
        <v>20.52</v>
      </c>
      <c r="F41" s="216">
        <v>3754</v>
      </c>
      <c r="G41" s="205">
        <f t="shared" si="26"/>
        <v>77032.08</v>
      </c>
      <c r="H41" s="48" t="s">
        <v>126</v>
      </c>
      <c r="I41" s="214">
        <v>18</v>
      </c>
      <c r="J41" s="43">
        <v>2400</v>
      </c>
      <c r="K41" s="18">
        <f t="shared" si="1"/>
        <v>133.33333333333334</v>
      </c>
      <c r="L41" s="214">
        <v>18</v>
      </c>
      <c r="M41" s="19">
        <f t="shared" si="27"/>
        <v>2298.3673469387759</v>
      </c>
      <c r="N41" s="18">
        <f t="shared" si="3"/>
        <v>127.68707482993199</v>
      </c>
      <c r="O41" s="20">
        <f t="shared" si="4"/>
        <v>0</v>
      </c>
      <c r="P41" s="21">
        <f t="shared" si="5"/>
        <v>-5.6462585034013557</v>
      </c>
      <c r="Q41" s="210">
        <f t="shared" si="6"/>
        <v>0.95765306122448979</v>
      </c>
      <c r="R41" s="573"/>
      <c r="S41" s="49">
        <v>0.42777777777777781</v>
      </c>
      <c r="T41" s="49">
        <v>0.49583333333333335</v>
      </c>
      <c r="U41" s="205">
        <f t="shared" si="29"/>
        <v>5.9999999999999787</v>
      </c>
      <c r="V41" s="215">
        <f t="shared" si="28"/>
        <v>97.999999999999972</v>
      </c>
      <c r="W41" s="25">
        <f>T41</f>
        <v>0.49583333333333335</v>
      </c>
      <c r="X41" s="25">
        <f>S42</f>
        <v>0.53541666666666665</v>
      </c>
      <c r="Y41" s="25"/>
      <c r="Z41" s="25"/>
      <c r="AA41" s="575"/>
      <c r="AB41" s="575"/>
      <c r="AC41" s="50"/>
      <c r="AD41" s="27"/>
      <c r="AE41" s="20">
        <f t="shared" si="8"/>
        <v>-101.63265306122412</v>
      </c>
      <c r="AF41" s="210">
        <f t="shared" si="9"/>
        <v>0.9576530612244899</v>
      </c>
      <c r="AG41" s="573"/>
    </row>
    <row r="42" spans="1:33">
      <c r="A42" s="593" t="s">
        <v>1116</v>
      </c>
      <c r="B42" s="39" t="s">
        <v>94</v>
      </c>
      <c r="C42" s="574" t="s">
        <v>530</v>
      </c>
      <c r="D42" s="574"/>
      <c r="E42" s="39">
        <v>26.18</v>
      </c>
      <c r="F42" s="216">
        <v>4073</v>
      </c>
      <c r="G42" s="205">
        <f t="shared" si="26"/>
        <v>106631.14</v>
      </c>
      <c r="H42" s="48" t="s">
        <v>126</v>
      </c>
      <c r="I42" s="214">
        <v>21</v>
      </c>
      <c r="J42" s="43">
        <v>2400</v>
      </c>
      <c r="K42" s="18">
        <f t="shared" si="1"/>
        <v>114.28571428571429</v>
      </c>
      <c r="L42" s="214">
        <v>21</v>
      </c>
      <c r="M42" s="19">
        <f t="shared" si="27"/>
        <v>2283.9252336448608</v>
      </c>
      <c r="N42" s="18">
        <f t="shared" si="3"/>
        <v>108.75834445927909</v>
      </c>
      <c r="O42" s="20">
        <f t="shared" si="4"/>
        <v>0</v>
      </c>
      <c r="P42" s="21">
        <f t="shared" si="5"/>
        <v>-5.5273698264352049</v>
      </c>
      <c r="Q42" s="210">
        <f t="shared" si="6"/>
        <v>0.95163551401869195</v>
      </c>
      <c r="R42" s="573"/>
      <c r="S42" s="49">
        <v>0.53541666666666665</v>
      </c>
      <c r="T42" s="49">
        <v>0.60972222222222217</v>
      </c>
      <c r="U42" s="205">
        <f t="shared" si="29"/>
        <v>56.999999999999957</v>
      </c>
      <c r="V42" s="215">
        <f t="shared" si="28"/>
        <v>106.99999999999994</v>
      </c>
      <c r="W42" s="25"/>
      <c r="X42" s="25"/>
      <c r="Y42" s="25"/>
      <c r="Z42" s="25"/>
      <c r="AA42" s="575"/>
      <c r="AB42" s="575"/>
      <c r="AC42" s="50"/>
      <c r="AD42" s="27"/>
      <c r="AE42" s="20">
        <f t="shared" si="8"/>
        <v>-116.07476635513922</v>
      </c>
      <c r="AF42" s="210">
        <f t="shared" si="9"/>
        <v>0.95163551401869195</v>
      </c>
      <c r="AG42" s="573"/>
    </row>
    <row r="43" spans="1:33">
      <c r="A43" s="593" t="s">
        <v>1116</v>
      </c>
      <c r="B43" s="39" t="s">
        <v>94</v>
      </c>
      <c r="C43" s="574" t="s">
        <v>100</v>
      </c>
      <c r="D43" s="574"/>
      <c r="E43" s="39">
        <v>24.43</v>
      </c>
      <c r="F43" s="216">
        <v>3883</v>
      </c>
      <c r="G43" s="205">
        <f t="shared" si="26"/>
        <v>94861.69</v>
      </c>
      <c r="H43" s="48" t="s">
        <v>126</v>
      </c>
      <c r="I43" s="214">
        <v>14</v>
      </c>
      <c r="J43" s="43">
        <v>2400</v>
      </c>
      <c r="K43" s="18">
        <f t="shared" si="1"/>
        <v>171.42857142857142</v>
      </c>
      <c r="L43" s="214">
        <v>14</v>
      </c>
      <c r="M43" s="19">
        <f t="shared" si="27"/>
        <v>2284.1176470588243</v>
      </c>
      <c r="N43" s="18">
        <f t="shared" si="3"/>
        <v>163.15126050420173</v>
      </c>
      <c r="O43" s="20">
        <f t="shared" si="4"/>
        <v>0</v>
      </c>
      <c r="P43" s="21">
        <f t="shared" si="5"/>
        <v>-8.2773109243696865</v>
      </c>
      <c r="Q43" s="210">
        <f t="shared" si="6"/>
        <v>0.9517156862745102</v>
      </c>
      <c r="R43" s="573"/>
      <c r="S43" s="49">
        <v>0.61458333333333326</v>
      </c>
      <c r="T43" s="49">
        <v>0.68541666666666656</v>
      </c>
      <c r="U43" s="205">
        <f t="shared" si="29"/>
        <v>6.9999999999999751</v>
      </c>
      <c r="V43" s="215">
        <f t="shared" si="28"/>
        <v>101.99999999999996</v>
      </c>
      <c r="W43" s="25"/>
      <c r="X43" s="25"/>
      <c r="Y43" s="25"/>
      <c r="Z43" s="25"/>
      <c r="AA43" s="575"/>
      <c r="AB43" s="575"/>
      <c r="AC43" s="50"/>
      <c r="AD43" s="27"/>
      <c r="AE43" s="20">
        <f t="shared" si="8"/>
        <v>-115.88235294117567</v>
      </c>
      <c r="AF43" s="210">
        <f t="shared" si="9"/>
        <v>0.95171568627451009</v>
      </c>
      <c r="AG43" s="573"/>
    </row>
    <row r="44" spans="1:33">
      <c r="A44" s="593" t="s">
        <v>1116</v>
      </c>
      <c r="B44" s="39" t="s">
        <v>94</v>
      </c>
      <c r="C44" s="574" t="s">
        <v>102</v>
      </c>
      <c r="D44" s="574"/>
      <c r="E44" s="39">
        <v>34.1</v>
      </c>
      <c r="F44" s="216">
        <v>3330</v>
      </c>
      <c r="G44" s="205">
        <f t="shared" si="26"/>
        <v>113553</v>
      </c>
      <c r="H44" s="48" t="s">
        <v>126</v>
      </c>
      <c r="I44" s="214">
        <v>18</v>
      </c>
      <c r="J44" s="43">
        <v>1600</v>
      </c>
      <c r="K44" s="18">
        <f t="shared" si="1"/>
        <v>88.888888888888886</v>
      </c>
      <c r="L44" s="214">
        <v>18</v>
      </c>
      <c r="M44" s="19">
        <f t="shared" si="27"/>
        <v>1525.1908396946565</v>
      </c>
      <c r="N44" s="18">
        <f t="shared" si="3"/>
        <v>84.732824427480921</v>
      </c>
      <c r="O44" s="20">
        <f t="shared" si="4"/>
        <v>0</v>
      </c>
      <c r="P44" s="21">
        <f t="shared" si="5"/>
        <v>-4.1560644614079649</v>
      </c>
      <c r="Q44" s="210">
        <f t="shared" si="6"/>
        <v>0.95324427480916041</v>
      </c>
      <c r="R44" s="573"/>
      <c r="S44" s="49">
        <v>0.68958333333333321</v>
      </c>
      <c r="T44" s="49">
        <v>0.78055555555555545</v>
      </c>
      <c r="U44" s="205">
        <f t="shared" si="29"/>
        <v>5.9999999999999787</v>
      </c>
      <c r="V44" s="215">
        <f t="shared" si="28"/>
        <v>131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-74.809160305343539</v>
      </c>
      <c r="AF44" s="210">
        <f t="shared" si="9"/>
        <v>0.9532442748091603</v>
      </c>
      <c r="AG44" s="573"/>
    </row>
    <row r="45" spans="1:33">
      <c r="A45" s="593" t="s">
        <v>1116</v>
      </c>
      <c r="B45" s="42" t="s">
        <v>1117</v>
      </c>
      <c r="C45" s="576"/>
      <c r="D45" s="576"/>
      <c r="E45" s="211"/>
      <c r="F45" s="42"/>
      <c r="G45" s="18"/>
      <c r="H45" s="216"/>
      <c r="I45" s="32">
        <v>17.714285714285715</v>
      </c>
      <c r="J45" s="43">
        <v>2171.4285714285716</v>
      </c>
      <c r="K45" s="18">
        <f t="shared" si="1"/>
        <v>122.58064516129032</v>
      </c>
      <c r="L45" s="32">
        <v>17.714285714285715</v>
      </c>
      <c r="M45" s="19">
        <f>AVERAGE(M38:M44)</f>
        <v>2069.558429042469</v>
      </c>
      <c r="N45" s="18">
        <f t="shared" si="3"/>
        <v>116.82991131691357</v>
      </c>
      <c r="O45" s="20">
        <f t="shared" si="4"/>
        <v>0</v>
      </c>
      <c r="P45" s="21">
        <f t="shared" si="5"/>
        <v>-5.7507338443767537</v>
      </c>
      <c r="Q45" s="210">
        <f t="shared" si="6"/>
        <v>0.9530861186379791</v>
      </c>
      <c r="R45" s="573"/>
      <c r="S45" s="49"/>
      <c r="T45" s="49"/>
      <c r="U45" s="18"/>
      <c r="V45" s="215"/>
      <c r="W45" s="18"/>
      <c r="X45" s="18"/>
      <c r="Y45" s="33">
        <f>SUM(Y38:Y44)</f>
        <v>0</v>
      </c>
      <c r="Z45" s="33">
        <f>SUM(Z38:Z44)</f>
        <v>0</v>
      </c>
      <c r="AA45" s="572"/>
      <c r="AB45" s="572"/>
      <c r="AC45" s="33">
        <v>7</v>
      </c>
      <c r="AD45" s="33">
        <f>SUM(AD38:AD44)</f>
        <v>0</v>
      </c>
      <c r="AE45" s="20">
        <f t="shared" si="8"/>
        <v>-101.87014238610254</v>
      </c>
      <c r="AF45" s="210">
        <f t="shared" si="9"/>
        <v>0.9530861186379791</v>
      </c>
      <c r="AG45" s="573"/>
    </row>
    <row r="46" spans="1:33" ht="15.75" customHeight="1">
      <c r="A46" s="589" t="s">
        <v>1118</v>
      </c>
      <c r="B46" s="39" t="s">
        <v>104</v>
      </c>
      <c r="C46" s="566" t="s">
        <v>105</v>
      </c>
      <c r="D46" s="567"/>
      <c r="E46" s="39">
        <v>37.880000000000003</v>
      </c>
      <c r="F46" s="216">
        <v>3623</v>
      </c>
      <c r="G46" s="205">
        <f t="shared" ref="G46:G49" si="30">E46*F46</f>
        <v>137239.24000000002</v>
      </c>
      <c r="H46" s="48" t="s">
        <v>126</v>
      </c>
      <c r="I46" s="214">
        <v>13</v>
      </c>
      <c r="J46" s="43">
        <v>2000</v>
      </c>
      <c r="K46" s="18">
        <f t="shared" si="1"/>
        <v>153.84615384615384</v>
      </c>
      <c r="L46" s="214">
        <v>13</v>
      </c>
      <c r="M46" s="19">
        <f t="shared" ref="M46:M49" si="31">F46/V46*60</f>
        <v>1906.8421052631584</v>
      </c>
      <c r="N46" s="19">
        <f t="shared" si="3"/>
        <v>146.68016194331989</v>
      </c>
      <c r="O46" s="20">
        <f t="shared" si="4"/>
        <v>0</v>
      </c>
      <c r="P46" s="21">
        <f t="shared" si="5"/>
        <v>-7.1659919028339516</v>
      </c>
      <c r="Q46" s="210">
        <f t="shared" si="6"/>
        <v>0.95342105263157928</v>
      </c>
      <c r="R46" s="584">
        <f>Q50</f>
        <v>0.95348479807257847</v>
      </c>
      <c r="S46" s="49">
        <v>8.3333333333333329E-2</v>
      </c>
      <c r="T46" s="49">
        <v>0.16249999999999998</v>
      </c>
      <c r="U46" s="30"/>
      <c r="V46" s="215">
        <f t="shared" ref="V46:V49" si="32">(T46-S46)*24*60</f>
        <v>113.99999999999997</v>
      </c>
      <c r="W46" s="25">
        <f>T46</f>
        <v>0.16249999999999998</v>
      </c>
      <c r="X46" s="25">
        <f>S47</f>
        <v>0.18055555555555552</v>
      </c>
      <c r="Y46" s="28"/>
      <c r="Z46" s="28"/>
      <c r="AA46" s="568"/>
      <c r="AB46" s="569"/>
      <c r="AC46" s="50">
        <v>4</v>
      </c>
      <c r="AD46" s="27"/>
      <c r="AE46" s="20">
        <f t="shared" si="8"/>
        <v>-93.157894736841627</v>
      </c>
      <c r="AF46" s="210">
        <f t="shared" si="9"/>
        <v>0.95342105263157917</v>
      </c>
      <c r="AG46" s="584">
        <f>AF50</f>
        <v>0.95348479807257847</v>
      </c>
    </row>
    <row r="47" spans="1:33" ht="15.75" customHeight="1">
      <c r="A47" s="590" t="s">
        <v>61</v>
      </c>
      <c r="B47" s="39" t="s">
        <v>104</v>
      </c>
      <c r="C47" s="566" t="s">
        <v>106</v>
      </c>
      <c r="D47" s="567"/>
      <c r="E47" s="39">
        <v>35.119999999999997</v>
      </c>
      <c r="F47" s="216">
        <v>6237</v>
      </c>
      <c r="G47" s="205">
        <f t="shared" si="30"/>
        <v>219043.43999999997</v>
      </c>
      <c r="H47" s="48" t="s">
        <v>126</v>
      </c>
      <c r="I47" s="214">
        <v>10</v>
      </c>
      <c r="J47" s="43">
        <v>3000</v>
      </c>
      <c r="K47" s="18">
        <f t="shared" si="1"/>
        <v>300</v>
      </c>
      <c r="L47" s="214">
        <v>10</v>
      </c>
      <c r="M47" s="19">
        <f t="shared" si="31"/>
        <v>2856.6412213740459</v>
      </c>
      <c r="N47" s="19">
        <f t="shared" si="3"/>
        <v>285.6641221374046</v>
      </c>
      <c r="O47" s="20">
        <f t="shared" si="4"/>
        <v>0</v>
      </c>
      <c r="P47" s="21">
        <f t="shared" si="5"/>
        <v>-14.335877862595396</v>
      </c>
      <c r="Q47" s="210">
        <f t="shared" si="6"/>
        <v>0.95221374045801532</v>
      </c>
      <c r="R47" s="585"/>
      <c r="S47" s="49">
        <v>0.18055555555555552</v>
      </c>
      <c r="T47" s="49">
        <v>0.27152777777777776</v>
      </c>
      <c r="U47" s="205">
        <f t="shared" ref="U47:U49" si="33">(S47-T46)*24*60</f>
        <v>25.999999999999986</v>
      </c>
      <c r="V47" s="215">
        <f t="shared" si="32"/>
        <v>131</v>
      </c>
      <c r="W47" s="25"/>
      <c r="X47" s="25"/>
      <c r="Y47" s="28"/>
      <c r="Z47" s="28"/>
      <c r="AA47" s="568"/>
      <c r="AB47" s="569"/>
      <c r="AC47" s="50"/>
      <c r="AD47" s="27"/>
      <c r="AE47" s="20">
        <f t="shared" si="8"/>
        <v>-143.35877862595407</v>
      </c>
      <c r="AF47" s="210">
        <f t="shared" si="9"/>
        <v>0.95221374045801532</v>
      </c>
      <c r="AG47" s="585"/>
    </row>
    <row r="48" spans="1:33" ht="15.75" customHeight="1">
      <c r="A48" s="590" t="s">
        <v>1119</v>
      </c>
      <c r="B48" s="39" t="s">
        <v>104</v>
      </c>
      <c r="C48" s="566" t="s">
        <v>107</v>
      </c>
      <c r="D48" s="567"/>
      <c r="E48" s="39">
        <v>21.13</v>
      </c>
      <c r="F48" s="216">
        <v>6393</v>
      </c>
      <c r="G48" s="205">
        <f t="shared" si="30"/>
        <v>135084.09</v>
      </c>
      <c r="H48" s="48" t="s">
        <v>126</v>
      </c>
      <c r="I48" s="214">
        <v>10</v>
      </c>
      <c r="J48" s="43">
        <v>3000</v>
      </c>
      <c r="K48" s="18">
        <f t="shared" si="1"/>
        <v>300</v>
      </c>
      <c r="L48" s="214">
        <v>10</v>
      </c>
      <c r="M48" s="19">
        <f t="shared" si="31"/>
        <v>2862.5373134328356</v>
      </c>
      <c r="N48" s="19">
        <f t="shared" si="3"/>
        <v>286.25373134328356</v>
      </c>
      <c r="O48" s="20">
        <f t="shared" si="4"/>
        <v>0</v>
      </c>
      <c r="P48" s="21">
        <f t="shared" si="5"/>
        <v>-13.746268656716438</v>
      </c>
      <c r="Q48" s="210">
        <f t="shared" si="6"/>
        <v>0.95417910447761189</v>
      </c>
      <c r="R48" s="585"/>
      <c r="S48" s="49">
        <v>0.27708333333333329</v>
      </c>
      <c r="T48" s="49">
        <v>0.37013888888888885</v>
      </c>
      <c r="U48" s="205">
        <f t="shared" si="33"/>
        <v>7.9999999999999716</v>
      </c>
      <c r="V48" s="215">
        <f t="shared" si="32"/>
        <v>134</v>
      </c>
      <c r="W48" s="25"/>
      <c r="X48" s="25"/>
      <c r="Y48" s="28"/>
      <c r="Z48" s="28"/>
      <c r="AA48" s="568"/>
      <c r="AB48" s="569"/>
      <c r="AC48" s="50"/>
      <c r="AD48" s="27"/>
      <c r="AE48" s="20">
        <f t="shared" si="8"/>
        <v>-137.46268656716438</v>
      </c>
      <c r="AF48" s="210">
        <f t="shared" si="9"/>
        <v>0.95417910447761189</v>
      </c>
      <c r="AG48" s="585"/>
    </row>
    <row r="49" spans="1:33" ht="15.75" customHeight="1">
      <c r="A49" s="590" t="s">
        <v>1119</v>
      </c>
      <c r="B49" s="39" t="s">
        <v>104</v>
      </c>
      <c r="C49" s="566" t="s">
        <v>108</v>
      </c>
      <c r="D49" s="567"/>
      <c r="E49" s="39">
        <v>27.17</v>
      </c>
      <c r="F49" s="216">
        <v>8253</v>
      </c>
      <c r="G49" s="205">
        <f t="shared" si="30"/>
        <v>224234.01</v>
      </c>
      <c r="H49" s="48" t="s">
        <v>126</v>
      </c>
      <c r="I49" s="214">
        <v>10</v>
      </c>
      <c r="J49" s="43">
        <v>3000</v>
      </c>
      <c r="K49" s="18">
        <f t="shared" si="1"/>
        <v>300</v>
      </c>
      <c r="L49" s="214">
        <v>10</v>
      </c>
      <c r="M49" s="19">
        <f t="shared" si="31"/>
        <v>2862.3121387283236</v>
      </c>
      <c r="N49" s="19">
        <f t="shared" si="3"/>
        <v>286.23121387283237</v>
      </c>
      <c r="O49" s="20">
        <f t="shared" si="4"/>
        <v>0</v>
      </c>
      <c r="P49" s="21">
        <f t="shared" si="5"/>
        <v>-13.76878612716763</v>
      </c>
      <c r="Q49" s="210">
        <f t="shared" si="6"/>
        <v>0.95410404624277456</v>
      </c>
      <c r="R49" s="585"/>
      <c r="S49" s="49">
        <v>0.37499999999999994</v>
      </c>
      <c r="T49" s="49">
        <v>0.49513888888888885</v>
      </c>
      <c r="U49" s="205">
        <f t="shared" si="33"/>
        <v>6.9999999999999751</v>
      </c>
      <c r="V49" s="215">
        <f t="shared" si="32"/>
        <v>173.00000000000003</v>
      </c>
      <c r="W49" s="25"/>
      <c r="X49" s="25"/>
      <c r="Y49" s="28"/>
      <c r="Z49" s="28"/>
      <c r="AA49" s="568"/>
      <c r="AB49" s="569"/>
      <c r="AC49" s="50"/>
      <c r="AD49" s="27"/>
      <c r="AE49" s="20">
        <f t="shared" si="8"/>
        <v>-137.68786127167641</v>
      </c>
      <c r="AF49" s="210">
        <f t="shared" si="9"/>
        <v>0.95410404624277456</v>
      </c>
      <c r="AG49" s="585"/>
    </row>
    <row r="50" spans="1:33" ht="15.75" customHeight="1">
      <c r="A50" s="591" t="s">
        <v>61</v>
      </c>
      <c r="B50" s="39" t="s">
        <v>46</v>
      </c>
      <c r="C50" s="570"/>
      <c r="D50" s="571"/>
      <c r="E50" s="203"/>
      <c r="F50" s="216"/>
      <c r="G50" s="205"/>
      <c r="H50" s="216"/>
      <c r="I50" s="32">
        <v>10.75</v>
      </c>
      <c r="J50" s="43">
        <v>2750</v>
      </c>
      <c r="K50" s="18">
        <f t="shared" si="1"/>
        <v>255.81395348837211</v>
      </c>
      <c r="L50" s="32">
        <v>10.75</v>
      </c>
      <c r="M50" s="19">
        <f>AVERAGE(M46:M49)</f>
        <v>2622.0831946995909</v>
      </c>
      <c r="N50" s="18">
        <f t="shared" si="3"/>
        <v>243.91471578600846</v>
      </c>
      <c r="O50" s="20">
        <f t="shared" si="4"/>
        <v>0</v>
      </c>
      <c r="P50" s="21">
        <f t="shared" si="5"/>
        <v>-11.899237702363649</v>
      </c>
      <c r="Q50" s="210">
        <f t="shared" si="6"/>
        <v>0.95348479807257847</v>
      </c>
      <c r="R50" s="586"/>
      <c r="S50" s="49"/>
      <c r="T50" s="49"/>
      <c r="U50" s="205"/>
      <c r="V50" s="215"/>
      <c r="W50" s="25"/>
      <c r="X50" s="25"/>
      <c r="Y50" s="33">
        <f>SUM(Y46:Y49)</f>
        <v>0</v>
      </c>
      <c r="Z50" s="33">
        <f>SUM(Z46:Z49)</f>
        <v>0</v>
      </c>
      <c r="AA50" s="587"/>
      <c r="AB50" s="588"/>
      <c r="AC50" s="33">
        <v>4</v>
      </c>
      <c r="AD50" s="33">
        <f>SUM(AD46:AD49)</f>
        <v>0</v>
      </c>
      <c r="AE50" s="20">
        <f t="shared" si="8"/>
        <v>-127.91680530040912</v>
      </c>
      <c r="AF50" s="210">
        <f t="shared" si="9"/>
        <v>0.95348479807257847</v>
      </c>
      <c r="AG50" s="586"/>
    </row>
    <row r="51" spans="1:33" ht="15.75" customHeight="1">
      <c r="A51" s="582" t="s">
        <v>62</v>
      </c>
      <c r="B51" s="39" t="s">
        <v>79</v>
      </c>
      <c r="C51" s="574" t="s">
        <v>109</v>
      </c>
      <c r="D51" s="574"/>
      <c r="E51" s="39">
        <v>46</v>
      </c>
      <c r="F51" s="45">
        <v>2636</v>
      </c>
      <c r="G51" s="205">
        <f t="shared" ref="G51:G57" si="34">E51*F51</f>
        <v>121256</v>
      </c>
      <c r="H51" s="48" t="s">
        <v>126</v>
      </c>
      <c r="I51" s="214">
        <v>16</v>
      </c>
      <c r="J51" s="43">
        <v>2000</v>
      </c>
      <c r="K51" s="18">
        <f t="shared" si="1"/>
        <v>125</v>
      </c>
      <c r="L51" s="214">
        <v>16</v>
      </c>
      <c r="M51" s="19">
        <f t="shared" ref="M51" si="35">F51/V51*60</f>
        <v>1905.542168674699</v>
      </c>
      <c r="N51" s="19">
        <f t="shared" si="3"/>
        <v>119.09638554216869</v>
      </c>
      <c r="O51" s="20">
        <f t="shared" si="4"/>
        <v>0</v>
      </c>
      <c r="P51" s="21">
        <f t="shared" si="5"/>
        <v>-5.9036144578313099</v>
      </c>
      <c r="Q51" s="210">
        <f t="shared" si="6"/>
        <v>0.95277108433734947</v>
      </c>
      <c r="R51" s="573">
        <f>Q58</f>
        <v>0.96104804524168896</v>
      </c>
      <c r="S51" s="49">
        <v>0.20833333333333334</v>
      </c>
      <c r="T51" s="49">
        <v>0.26597222222222222</v>
      </c>
      <c r="U51" s="30"/>
      <c r="V51" s="215">
        <f t="shared" ref="V51:V57" si="36">(T51-S51)*24*60</f>
        <v>82.999999999999986</v>
      </c>
      <c r="W51" s="30"/>
      <c r="X51" s="30"/>
      <c r="Y51" s="30"/>
      <c r="Z51" s="30"/>
      <c r="AA51" s="575"/>
      <c r="AB51" s="575"/>
      <c r="AC51" s="50">
        <v>7</v>
      </c>
      <c r="AD51" s="27"/>
      <c r="AE51" s="20">
        <f t="shared" si="8"/>
        <v>-94.457831325300958</v>
      </c>
      <c r="AF51" s="210">
        <f t="shared" si="9"/>
        <v>0.95277108433734947</v>
      </c>
      <c r="AG51" s="573">
        <f>AF58</f>
        <v>0.96104804524168896</v>
      </c>
    </row>
    <row r="52" spans="1:33" ht="15.75" customHeight="1">
      <c r="A52" s="582" t="s">
        <v>62</v>
      </c>
      <c r="B52" s="39" t="s">
        <v>74</v>
      </c>
      <c r="C52" s="574" t="s">
        <v>110</v>
      </c>
      <c r="D52" s="574"/>
      <c r="E52" s="39">
        <v>56.43</v>
      </c>
      <c r="F52" s="45">
        <v>1706</v>
      </c>
      <c r="G52" s="205">
        <f t="shared" si="34"/>
        <v>96269.58</v>
      </c>
      <c r="H52" s="48" t="s">
        <v>126</v>
      </c>
      <c r="I52" s="214">
        <v>22</v>
      </c>
      <c r="J52" s="43">
        <v>2000</v>
      </c>
      <c r="K52" s="18">
        <f t="shared" si="1"/>
        <v>90.909090909090907</v>
      </c>
      <c r="L52" s="214">
        <v>22</v>
      </c>
      <c r="M52" s="19">
        <f>F52/V52*60</f>
        <v>1931.320754716982</v>
      </c>
      <c r="N52" s="19">
        <f t="shared" si="3"/>
        <v>87.787307032590093</v>
      </c>
      <c r="O52" s="20">
        <f t="shared" si="4"/>
        <v>0</v>
      </c>
      <c r="P52" s="21">
        <f t="shared" si="5"/>
        <v>-3.1217838765008139</v>
      </c>
      <c r="Q52" s="210">
        <f t="shared" si="6"/>
        <v>0.96566037735849108</v>
      </c>
      <c r="R52" s="573"/>
      <c r="S52" s="49">
        <v>0.26944444444444443</v>
      </c>
      <c r="T52" s="49">
        <v>0.30624999999999997</v>
      </c>
      <c r="U52" s="205">
        <f t="shared" ref="U52:U57" si="37">IF(S52=TIME(17,0,0),"",(S52-T51)*24*60)</f>
        <v>4.9999999999999822</v>
      </c>
      <c r="V52" s="215">
        <f t="shared" si="36"/>
        <v>52.999999999999972</v>
      </c>
      <c r="W52" s="25"/>
      <c r="X52" s="25"/>
      <c r="Y52" s="25"/>
      <c r="Z52" s="25"/>
      <c r="AA52" s="575"/>
      <c r="AB52" s="575"/>
      <c r="AC52" s="50"/>
      <c r="AD52" s="27"/>
      <c r="AE52" s="20">
        <f t="shared" si="8"/>
        <v>-68.679245283017963</v>
      </c>
      <c r="AF52" s="210">
        <f t="shared" si="9"/>
        <v>0.96566037735849097</v>
      </c>
      <c r="AG52" s="573"/>
    </row>
    <row r="53" spans="1:33" ht="15.75" customHeight="1">
      <c r="A53" s="582" t="s">
        <v>62</v>
      </c>
      <c r="B53" s="39" t="s">
        <v>74</v>
      </c>
      <c r="C53" s="566" t="s">
        <v>111</v>
      </c>
      <c r="D53" s="567"/>
      <c r="E53" s="39">
        <v>51.75</v>
      </c>
      <c r="F53" s="45">
        <v>938</v>
      </c>
      <c r="G53" s="205">
        <f t="shared" si="34"/>
        <v>48541.5</v>
      </c>
      <c r="H53" s="48" t="s">
        <v>126</v>
      </c>
      <c r="I53" s="214">
        <v>25</v>
      </c>
      <c r="J53" s="43">
        <v>2000</v>
      </c>
      <c r="K53" s="18">
        <f t="shared" si="1"/>
        <v>80</v>
      </c>
      <c r="L53" s="214">
        <v>25</v>
      </c>
      <c r="M53" s="19">
        <f t="shared" ref="M53:M57" si="38">F53/V53*60</f>
        <v>1940.6896551724151</v>
      </c>
      <c r="N53" s="19">
        <f t="shared" si="3"/>
        <v>77.627586206896609</v>
      </c>
      <c r="O53" s="20">
        <f t="shared" si="4"/>
        <v>0</v>
      </c>
      <c r="P53" s="21">
        <f t="shared" si="5"/>
        <v>-2.3724137931033908</v>
      </c>
      <c r="Q53" s="210">
        <f t="shared" si="6"/>
        <v>0.97034482758620766</v>
      </c>
      <c r="R53" s="573"/>
      <c r="S53" s="49">
        <v>0.3118055555555555</v>
      </c>
      <c r="T53" s="49">
        <v>0.33194444444444438</v>
      </c>
      <c r="U53" s="205">
        <f t="shared" si="37"/>
        <v>7.9999999999999716</v>
      </c>
      <c r="V53" s="215">
        <f t="shared" si="36"/>
        <v>28.999999999999979</v>
      </c>
      <c r="W53" s="25"/>
      <c r="X53" s="25"/>
      <c r="Y53" s="28"/>
      <c r="Z53" s="28"/>
      <c r="AA53" s="575"/>
      <c r="AB53" s="575"/>
      <c r="AC53" s="50"/>
      <c r="AD53" s="27"/>
      <c r="AE53" s="20">
        <f t="shared" si="8"/>
        <v>-59.310344827584913</v>
      </c>
      <c r="AF53" s="210">
        <f t="shared" si="9"/>
        <v>0.97034482758620755</v>
      </c>
      <c r="AG53" s="573"/>
    </row>
    <row r="54" spans="1:33" ht="15.75" customHeight="1">
      <c r="A54" s="582" t="s">
        <v>1120</v>
      </c>
      <c r="B54" s="39" t="s">
        <v>74</v>
      </c>
      <c r="C54" s="206" t="s">
        <v>88</v>
      </c>
      <c r="D54" s="207"/>
      <c r="E54" s="39">
        <v>59.04</v>
      </c>
      <c r="F54" s="45">
        <v>6321</v>
      </c>
      <c r="G54" s="205">
        <f t="shared" si="34"/>
        <v>373191.83999999997</v>
      </c>
      <c r="H54" s="48" t="s">
        <v>126</v>
      </c>
      <c r="I54" s="214">
        <v>19</v>
      </c>
      <c r="J54" s="43">
        <v>2000</v>
      </c>
      <c r="K54" s="18">
        <f t="shared" si="1"/>
        <v>105.26315789473684</v>
      </c>
      <c r="L54" s="214">
        <v>19</v>
      </c>
      <c r="M54" s="19">
        <f t="shared" si="38"/>
        <v>1905.8291457286432</v>
      </c>
      <c r="N54" s="19">
        <f t="shared" si="3"/>
        <v>100.3067971436128</v>
      </c>
      <c r="O54" s="20">
        <f t="shared" si="4"/>
        <v>0</v>
      </c>
      <c r="P54" s="21">
        <f t="shared" si="5"/>
        <v>-4.9563607511240377</v>
      </c>
      <c r="Q54" s="210">
        <f t="shared" si="6"/>
        <v>0.95291457286432169</v>
      </c>
      <c r="R54" s="573"/>
      <c r="S54" s="49">
        <v>0.33680555555555547</v>
      </c>
      <c r="T54" s="49">
        <v>0.47499999999999992</v>
      </c>
      <c r="U54" s="205">
        <f t="shared" si="37"/>
        <v>6.9999999999999751</v>
      </c>
      <c r="V54" s="215">
        <f t="shared" si="36"/>
        <v>199</v>
      </c>
      <c r="W54" s="25"/>
      <c r="X54" s="25"/>
      <c r="Y54" s="28"/>
      <c r="Z54" s="28"/>
      <c r="AA54" s="575"/>
      <c r="AB54" s="575"/>
      <c r="AC54" s="50"/>
      <c r="AD54" s="27"/>
      <c r="AE54" s="20">
        <f t="shared" si="8"/>
        <v>-94.170854271356802</v>
      </c>
      <c r="AF54" s="210">
        <f t="shared" si="9"/>
        <v>0.95291457286432157</v>
      </c>
      <c r="AG54" s="573"/>
    </row>
    <row r="55" spans="1:33" ht="15.75" customHeight="1">
      <c r="A55" s="582" t="s">
        <v>1121</v>
      </c>
      <c r="B55" s="39" t="s">
        <v>74</v>
      </c>
      <c r="C55" s="206" t="s">
        <v>112</v>
      </c>
      <c r="D55" s="207"/>
      <c r="E55" s="39">
        <v>55.32</v>
      </c>
      <c r="F55" s="45">
        <v>1772</v>
      </c>
      <c r="G55" s="205">
        <f t="shared" si="34"/>
        <v>98027.04</v>
      </c>
      <c r="H55" s="48" t="s">
        <v>126</v>
      </c>
      <c r="I55" s="214">
        <v>15</v>
      </c>
      <c r="J55" s="43">
        <v>2000</v>
      </c>
      <c r="K55" s="18">
        <f t="shared" si="1"/>
        <v>133.33333333333334</v>
      </c>
      <c r="L55" s="214">
        <v>15</v>
      </c>
      <c r="M55" s="19">
        <f t="shared" si="38"/>
        <v>1933.0909090909104</v>
      </c>
      <c r="N55" s="19">
        <f t="shared" si="3"/>
        <v>128.87272727272736</v>
      </c>
      <c r="O55" s="20">
        <f t="shared" si="4"/>
        <v>0</v>
      </c>
      <c r="P55" s="21">
        <f t="shared" si="5"/>
        <v>-4.4606060606059827</v>
      </c>
      <c r="Q55" s="210">
        <f t="shared" si="6"/>
        <v>0.96654545454545515</v>
      </c>
      <c r="R55" s="573"/>
      <c r="S55" s="49">
        <v>0.70833333333333337</v>
      </c>
      <c r="T55" s="49">
        <v>0.74652777777777779</v>
      </c>
      <c r="U55" s="205" t="str">
        <f t="shared" si="37"/>
        <v/>
      </c>
      <c r="V55" s="215">
        <f t="shared" si="36"/>
        <v>54.999999999999964</v>
      </c>
      <c r="W55" s="25"/>
      <c r="X55" s="25"/>
      <c r="Y55" s="28"/>
      <c r="Z55" s="28"/>
      <c r="AA55" s="575"/>
      <c r="AB55" s="575"/>
      <c r="AC55" s="50"/>
      <c r="AD55" s="27"/>
      <c r="AE55" s="20">
        <f t="shared" si="8"/>
        <v>-66.909090909089628</v>
      </c>
      <c r="AF55" s="210">
        <f t="shared" si="9"/>
        <v>0.96654545454545515</v>
      </c>
      <c r="AG55" s="573"/>
    </row>
    <row r="56" spans="1:33" ht="15.75" customHeight="1">
      <c r="A56" s="582" t="s">
        <v>1121</v>
      </c>
      <c r="B56" s="39" t="s">
        <v>74</v>
      </c>
      <c r="C56" s="566" t="s">
        <v>113</v>
      </c>
      <c r="D56" s="567"/>
      <c r="E56" s="39">
        <v>55.56</v>
      </c>
      <c r="F56" s="45">
        <v>2379</v>
      </c>
      <c r="G56" s="205">
        <f t="shared" si="34"/>
        <v>132177.24000000002</v>
      </c>
      <c r="H56" s="48" t="s">
        <v>126</v>
      </c>
      <c r="I56" s="214">
        <v>17</v>
      </c>
      <c r="J56" s="43">
        <v>2000</v>
      </c>
      <c r="K56" s="18">
        <f t="shared" si="1"/>
        <v>117.64705882352941</v>
      </c>
      <c r="L56" s="214">
        <v>17</v>
      </c>
      <c r="M56" s="19">
        <f t="shared" si="38"/>
        <v>1903.1999999999987</v>
      </c>
      <c r="N56" s="19">
        <f t="shared" si="3"/>
        <v>111.95294117647052</v>
      </c>
      <c r="O56" s="20">
        <f t="shared" si="4"/>
        <v>0</v>
      </c>
      <c r="P56" s="21">
        <f t="shared" si="5"/>
        <v>-5.6941176470588886</v>
      </c>
      <c r="Q56" s="210">
        <f t="shared" si="6"/>
        <v>0.95159999999999945</v>
      </c>
      <c r="R56" s="573"/>
      <c r="S56" s="49">
        <v>0.75069444444444444</v>
      </c>
      <c r="T56" s="49">
        <v>0.80277777777777781</v>
      </c>
      <c r="U56" s="205">
        <f t="shared" si="37"/>
        <v>5.9999999999999787</v>
      </c>
      <c r="V56" s="215">
        <f t="shared" si="36"/>
        <v>75.000000000000057</v>
      </c>
      <c r="W56" s="25"/>
      <c r="X56" s="25"/>
      <c r="Y56" s="28"/>
      <c r="Z56" s="28"/>
      <c r="AA56" s="568"/>
      <c r="AB56" s="569"/>
      <c r="AC56" s="50"/>
      <c r="AD56" s="27"/>
      <c r="AE56" s="20">
        <f t="shared" si="8"/>
        <v>-96.800000000001319</v>
      </c>
      <c r="AF56" s="210">
        <f t="shared" si="9"/>
        <v>0.95159999999999934</v>
      </c>
      <c r="AG56" s="573"/>
    </row>
    <row r="57" spans="1:33" ht="15.75" customHeight="1">
      <c r="A57" s="582" t="s">
        <v>1120</v>
      </c>
      <c r="B57" s="39" t="s">
        <v>74</v>
      </c>
      <c r="C57" s="566" t="s">
        <v>114</v>
      </c>
      <c r="D57" s="567"/>
      <c r="E57" s="39">
        <v>54.29</v>
      </c>
      <c r="F57" s="45">
        <v>1161</v>
      </c>
      <c r="G57" s="205">
        <f t="shared" si="34"/>
        <v>63030.69</v>
      </c>
      <c r="H57" s="48" t="s">
        <v>126</v>
      </c>
      <c r="I57" s="214">
        <v>20</v>
      </c>
      <c r="J57" s="43">
        <v>2000</v>
      </c>
      <c r="K57" s="18">
        <f t="shared" si="1"/>
        <v>100</v>
      </c>
      <c r="L57" s="214">
        <v>20</v>
      </c>
      <c r="M57" s="19">
        <f t="shared" si="38"/>
        <v>1934.9999999999982</v>
      </c>
      <c r="N57" s="19">
        <f t="shared" si="3"/>
        <v>96.749999999999915</v>
      </c>
      <c r="O57" s="20">
        <f t="shared" si="4"/>
        <v>0</v>
      </c>
      <c r="P57" s="21">
        <f t="shared" si="5"/>
        <v>-3.2500000000000853</v>
      </c>
      <c r="Q57" s="210">
        <f t="shared" si="6"/>
        <v>0.96749999999999914</v>
      </c>
      <c r="R57" s="573"/>
      <c r="S57" s="49">
        <v>0.80625000000000002</v>
      </c>
      <c r="T57" s="49">
        <v>0.83125000000000004</v>
      </c>
      <c r="U57" s="205">
        <f t="shared" si="37"/>
        <v>4.9999999999999822</v>
      </c>
      <c r="V57" s="215">
        <f t="shared" si="36"/>
        <v>36.000000000000028</v>
      </c>
      <c r="W57" s="25"/>
      <c r="X57" s="25"/>
      <c r="Y57" s="28"/>
      <c r="Z57" s="28"/>
      <c r="AA57" s="568"/>
      <c r="AB57" s="569"/>
      <c r="AC57" s="50"/>
      <c r="AD57" s="27"/>
      <c r="AE57" s="20">
        <f t="shared" si="8"/>
        <v>-65.000000000001819</v>
      </c>
      <c r="AF57" s="210">
        <f t="shared" si="9"/>
        <v>0.96749999999999914</v>
      </c>
      <c r="AG57" s="573"/>
    </row>
    <row r="58" spans="1:33">
      <c r="A58" s="583" t="s">
        <v>1122</v>
      </c>
      <c r="B58" s="39" t="s">
        <v>1123</v>
      </c>
      <c r="C58" s="576"/>
      <c r="D58" s="576"/>
      <c r="E58" s="211"/>
      <c r="F58" s="42"/>
      <c r="G58" s="18"/>
      <c r="H58" s="216"/>
      <c r="I58" s="32">
        <v>19.142857142857142</v>
      </c>
      <c r="J58" s="43">
        <v>2000</v>
      </c>
      <c r="K58" s="18">
        <f t="shared" si="1"/>
        <v>104.47761194029852</v>
      </c>
      <c r="L58" s="32">
        <v>19.142857142857142</v>
      </c>
      <c r="M58" s="19">
        <f>AVERAGE(M51:M57)</f>
        <v>1922.096090483378</v>
      </c>
      <c r="N58" s="18">
        <f t="shared" si="3"/>
        <v>100.40800472674363</v>
      </c>
      <c r="O58" s="20">
        <f t="shared" si="4"/>
        <v>0</v>
      </c>
      <c r="P58" s="21">
        <f t="shared" si="5"/>
        <v>-4.0696072135548889</v>
      </c>
      <c r="Q58" s="210">
        <f t="shared" si="6"/>
        <v>0.96104804524168896</v>
      </c>
      <c r="R58" s="573"/>
      <c r="S58" s="49"/>
      <c r="T58" s="49"/>
      <c r="U58" s="205"/>
      <c r="V58" s="215"/>
      <c r="W58" s="18"/>
      <c r="X58" s="18"/>
      <c r="Y58" s="33">
        <f>SUM(Y51:Y57)</f>
        <v>0</v>
      </c>
      <c r="Z58" s="33">
        <f>SUM(Z51:Z57)</f>
        <v>0</v>
      </c>
      <c r="AA58" s="572"/>
      <c r="AB58" s="572"/>
      <c r="AC58" s="33">
        <v>7</v>
      </c>
      <c r="AD58" s="33">
        <f>SUM(AD51:AD57)</f>
        <v>0</v>
      </c>
      <c r="AE58" s="20">
        <f>M58-J58</f>
        <v>-77.903909516621979</v>
      </c>
      <c r="AF58" s="210">
        <f t="shared" si="9"/>
        <v>0.96104804524168896</v>
      </c>
      <c r="AG58" s="573"/>
    </row>
    <row r="59" spans="1:33" ht="15.75" customHeight="1">
      <c r="A59" s="580" t="s">
        <v>67</v>
      </c>
      <c r="B59" s="216" t="s">
        <v>104</v>
      </c>
      <c r="C59" s="574" t="s">
        <v>115</v>
      </c>
      <c r="D59" s="574"/>
      <c r="E59" s="39">
        <v>34.36</v>
      </c>
      <c r="F59" s="45">
        <v>2494</v>
      </c>
      <c r="G59" s="205">
        <f t="shared" ref="G59:G64" si="39">E59*F59</f>
        <v>85693.84</v>
      </c>
      <c r="H59" s="48" t="s">
        <v>126</v>
      </c>
      <c r="I59" s="214">
        <v>10</v>
      </c>
      <c r="J59" s="43">
        <v>3000</v>
      </c>
      <c r="K59" s="18">
        <f t="shared" si="1"/>
        <v>300</v>
      </c>
      <c r="L59" s="214">
        <v>10</v>
      </c>
      <c r="M59" s="19">
        <f t="shared" ref="M59:M64" si="40">F59/V59*60</f>
        <v>2877.6923076923067</v>
      </c>
      <c r="N59" s="18">
        <f t="shared" si="3"/>
        <v>287.76923076923066</v>
      </c>
      <c r="O59" s="20">
        <f t="shared" si="4"/>
        <v>0</v>
      </c>
      <c r="P59" s="21">
        <f t="shared" si="5"/>
        <v>-12.23076923076934</v>
      </c>
      <c r="Q59" s="210">
        <f t="shared" si="6"/>
        <v>0.95923076923076889</v>
      </c>
      <c r="R59" s="573">
        <f>Q65</f>
        <v>0.95895191650963485</v>
      </c>
      <c r="S59" s="49">
        <v>0.20833333333333334</v>
      </c>
      <c r="T59" s="49">
        <v>0.24444444444444446</v>
      </c>
      <c r="U59" s="205"/>
      <c r="V59" s="215">
        <f t="shared" ref="V59:V64" si="41">(T59-S59)*24*60</f>
        <v>52.000000000000014</v>
      </c>
      <c r="W59" s="30"/>
      <c r="X59" s="30"/>
      <c r="Y59" s="30"/>
      <c r="Z59" s="30"/>
      <c r="AA59" s="575"/>
      <c r="AB59" s="575"/>
      <c r="AC59" s="50">
        <v>6</v>
      </c>
      <c r="AD59" s="27"/>
      <c r="AE59" s="20">
        <f t="shared" ref="AE59:AE73" si="42">M59-J59</f>
        <v>-122.30769230769329</v>
      </c>
      <c r="AF59" s="210">
        <f t="shared" si="9"/>
        <v>0.95923076923076889</v>
      </c>
      <c r="AG59" s="573">
        <f>AF65</f>
        <v>0.95895191650963474</v>
      </c>
    </row>
    <row r="60" spans="1:33" ht="15.75" customHeight="1">
      <c r="A60" s="580" t="s">
        <v>67</v>
      </c>
      <c r="B60" s="216" t="s">
        <v>104</v>
      </c>
      <c r="C60" s="574" t="s">
        <v>116</v>
      </c>
      <c r="D60" s="574"/>
      <c r="E60" s="39">
        <v>34.36</v>
      </c>
      <c r="F60" s="45">
        <v>1155</v>
      </c>
      <c r="G60" s="205">
        <f t="shared" si="39"/>
        <v>39685.800000000003</v>
      </c>
      <c r="H60" s="48" t="s">
        <v>126</v>
      </c>
      <c r="I60" s="214">
        <v>10</v>
      </c>
      <c r="J60" s="43">
        <v>3000</v>
      </c>
      <c r="K60" s="18">
        <f t="shared" si="1"/>
        <v>300</v>
      </c>
      <c r="L60" s="214">
        <v>10</v>
      </c>
      <c r="M60" s="19">
        <f t="shared" si="40"/>
        <v>2887.4999999999959</v>
      </c>
      <c r="N60" s="18">
        <f t="shared" si="3"/>
        <v>288.7499999999996</v>
      </c>
      <c r="O60" s="20">
        <f t="shared" si="4"/>
        <v>0</v>
      </c>
      <c r="P60" s="21">
        <f t="shared" si="5"/>
        <v>-11.250000000000398</v>
      </c>
      <c r="Q60" s="210">
        <f t="shared" si="6"/>
        <v>0.96249999999999869</v>
      </c>
      <c r="R60" s="573"/>
      <c r="S60" s="49">
        <v>0.24930555555555559</v>
      </c>
      <c r="T60" s="49">
        <v>0.26597222222222228</v>
      </c>
      <c r="U60" s="205">
        <f t="shared" ref="U60:U64" si="43">(S60-T59)*24*60</f>
        <v>7.0000000000000151</v>
      </c>
      <c r="V60" s="215">
        <f t="shared" si="41"/>
        <v>24.000000000000036</v>
      </c>
      <c r="W60" s="205"/>
      <c r="X60" s="205"/>
      <c r="Y60" s="205"/>
      <c r="Z60" s="205"/>
      <c r="AA60" s="575"/>
      <c r="AB60" s="575"/>
      <c r="AC60" s="50"/>
      <c r="AD60" s="27"/>
      <c r="AE60" s="20">
        <f t="shared" si="42"/>
        <v>-112.50000000000409</v>
      </c>
      <c r="AF60" s="210">
        <f t="shared" si="9"/>
        <v>0.96249999999999869</v>
      </c>
      <c r="AG60" s="573"/>
    </row>
    <row r="61" spans="1:33" ht="15.75" customHeight="1">
      <c r="A61" s="580" t="s">
        <v>1124</v>
      </c>
      <c r="B61" s="216" t="s">
        <v>104</v>
      </c>
      <c r="C61" s="574" t="s">
        <v>117</v>
      </c>
      <c r="D61" s="574"/>
      <c r="E61" s="39">
        <v>26.78</v>
      </c>
      <c r="F61" s="45">
        <v>2600</v>
      </c>
      <c r="G61" s="205">
        <f t="shared" si="39"/>
        <v>69628</v>
      </c>
      <c r="H61" s="48" t="s">
        <v>126</v>
      </c>
      <c r="I61" s="214">
        <v>10</v>
      </c>
      <c r="J61" s="43">
        <v>3000</v>
      </c>
      <c r="K61" s="18">
        <f t="shared" si="1"/>
        <v>300</v>
      </c>
      <c r="L61" s="214">
        <v>10</v>
      </c>
      <c r="M61" s="19">
        <f t="shared" si="40"/>
        <v>2888.8888888888905</v>
      </c>
      <c r="N61" s="18">
        <f t="shared" si="3"/>
        <v>288.88888888888903</v>
      </c>
      <c r="O61" s="20">
        <f t="shared" si="4"/>
        <v>0</v>
      </c>
      <c r="P61" s="21">
        <f t="shared" si="5"/>
        <v>-11.111111111110972</v>
      </c>
      <c r="Q61" s="210">
        <f t="shared" si="6"/>
        <v>0.96296296296296346</v>
      </c>
      <c r="R61" s="573"/>
      <c r="S61" s="49">
        <v>0.27013888888888893</v>
      </c>
      <c r="T61" s="49">
        <v>0.30763888888888891</v>
      </c>
      <c r="U61" s="205">
        <f t="shared" si="43"/>
        <v>5.9999999999999787</v>
      </c>
      <c r="V61" s="215">
        <f t="shared" si="41"/>
        <v>53.999999999999972</v>
      </c>
      <c r="W61" s="205"/>
      <c r="X61" s="205"/>
      <c r="Y61" s="205"/>
      <c r="Z61" s="205"/>
      <c r="AA61" s="575"/>
      <c r="AB61" s="575"/>
      <c r="AC61" s="50"/>
      <c r="AD61" s="27"/>
      <c r="AE61" s="20">
        <f t="shared" si="42"/>
        <v>-111.11111111110949</v>
      </c>
      <c r="AF61" s="210">
        <f t="shared" si="9"/>
        <v>0.96296296296296346</v>
      </c>
      <c r="AG61" s="573"/>
    </row>
    <row r="62" spans="1:33" ht="15.75" customHeight="1">
      <c r="A62" s="580" t="s">
        <v>67</v>
      </c>
      <c r="B62" s="216" t="s">
        <v>104</v>
      </c>
      <c r="C62" s="574" t="s">
        <v>118</v>
      </c>
      <c r="D62" s="574"/>
      <c r="E62" s="39">
        <v>37.880000000000003</v>
      </c>
      <c r="F62" s="45">
        <v>1336</v>
      </c>
      <c r="G62" s="205">
        <f t="shared" si="39"/>
        <v>50607.68</v>
      </c>
      <c r="H62" s="48" t="s">
        <v>126</v>
      </c>
      <c r="I62" s="214">
        <v>10</v>
      </c>
      <c r="J62" s="43">
        <v>3000</v>
      </c>
      <c r="K62" s="18">
        <f t="shared" si="1"/>
        <v>300</v>
      </c>
      <c r="L62" s="214">
        <v>10</v>
      </c>
      <c r="M62" s="19">
        <f t="shared" si="40"/>
        <v>2862.8571428571449</v>
      </c>
      <c r="N62" s="18">
        <f t="shared" si="3"/>
        <v>286.2857142857145</v>
      </c>
      <c r="O62" s="20">
        <f t="shared" si="4"/>
        <v>0</v>
      </c>
      <c r="P62" s="21">
        <f t="shared" si="5"/>
        <v>-13.714285714285495</v>
      </c>
      <c r="Q62" s="210">
        <f t="shared" si="6"/>
        <v>0.95428571428571507</v>
      </c>
      <c r="R62" s="573"/>
      <c r="S62" s="49">
        <v>0.31180555555555556</v>
      </c>
      <c r="T62" s="49">
        <v>0.33124999999999999</v>
      </c>
      <c r="U62" s="205">
        <f t="shared" si="43"/>
        <v>5.9999999999999787</v>
      </c>
      <c r="V62" s="215">
        <f t="shared" si="41"/>
        <v>27.999999999999979</v>
      </c>
      <c r="W62" s="205"/>
      <c r="X62" s="205"/>
      <c r="Y62" s="205"/>
      <c r="Z62" s="205"/>
      <c r="AA62" s="575"/>
      <c r="AB62" s="575"/>
      <c r="AC62" s="50"/>
      <c r="AD62" s="27"/>
      <c r="AE62" s="20">
        <f t="shared" si="42"/>
        <v>-137.14285714285506</v>
      </c>
      <c r="AF62" s="210">
        <f t="shared" si="9"/>
        <v>0.95428571428571496</v>
      </c>
      <c r="AG62" s="573"/>
    </row>
    <row r="63" spans="1:33">
      <c r="A63" s="581" t="s">
        <v>67</v>
      </c>
      <c r="B63" s="216" t="s">
        <v>104</v>
      </c>
      <c r="C63" s="574" t="s">
        <v>119</v>
      </c>
      <c r="D63" s="574"/>
      <c r="E63" s="39">
        <v>35.869999999999997</v>
      </c>
      <c r="F63" s="45">
        <v>4096</v>
      </c>
      <c r="G63" s="205">
        <f t="shared" si="39"/>
        <v>146923.51999999999</v>
      </c>
      <c r="H63" s="48" t="s">
        <v>126</v>
      </c>
      <c r="I63" s="214">
        <v>9</v>
      </c>
      <c r="J63" s="43">
        <v>3000</v>
      </c>
      <c r="K63" s="18">
        <f t="shared" si="1"/>
        <v>333.33333333333331</v>
      </c>
      <c r="L63" s="214">
        <v>9</v>
      </c>
      <c r="M63" s="19">
        <f t="shared" si="40"/>
        <v>2857.6744186046508</v>
      </c>
      <c r="N63" s="18">
        <f t="shared" si="3"/>
        <v>317.51937984496118</v>
      </c>
      <c r="O63" s="20">
        <f t="shared" si="4"/>
        <v>0</v>
      </c>
      <c r="P63" s="21">
        <f t="shared" si="5"/>
        <v>-15.813953488372135</v>
      </c>
      <c r="Q63" s="210">
        <f t="shared" si="6"/>
        <v>0.95255813953488355</v>
      </c>
      <c r="R63" s="573"/>
      <c r="S63" s="49">
        <v>0.33680555555555552</v>
      </c>
      <c r="T63" s="49">
        <v>0.39652777777777776</v>
      </c>
      <c r="U63" s="205">
        <f t="shared" si="43"/>
        <v>7.9999999999999716</v>
      </c>
      <c r="V63" s="215">
        <f t="shared" si="41"/>
        <v>86.000000000000014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2"/>
        <v>-142.32558139534922</v>
      </c>
      <c r="AF63" s="210">
        <f t="shared" si="9"/>
        <v>0.95255813953488355</v>
      </c>
      <c r="AG63" s="573"/>
    </row>
    <row r="64" spans="1:33" ht="15" customHeight="1">
      <c r="A64" s="581" t="s">
        <v>1124</v>
      </c>
      <c r="B64" s="216" t="s">
        <v>104</v>
      </c>
      <c r="C64" s="566" t="s">
        <v>120</v>
      </c>
      <c r="D64" s="567"/>
      <c r="E64" s="39">
        <v>34.35</v>
      </c>
      <c r="F64" s="45">
        <v>2213</v>
      </c>
      <c r="G64" s="205">
        <f t="shared" si="39"/>
        <v>76016.55</v>
      </c>
      <c r="H64" s="48" t="s">
        <v>126</v>
      </c>
      <c r="I64" s="214">
        <v>8</v>
      </c>
      <c r="J64" s="43">
        <v>3000</v>
      </c>
      <c r="K64" s="18">
        <f t="shared" si="1"/>
        <v>375</v>
      </c>
      <c r="L64" s="214">
        <v>8</v>
      </c>
      <c r="M64" s="19">
        <f t="shared" si="40"/>
        <v>2886.521739130435</v>
      </c>
      <c r="N64" s="18">
        <f t="shared" si="3"/>
        <v>360.81521739130437</v>
      </c>
      <c r="O64" s="20">
        <f t="shared" si="4"/>
        <v>0</v>
      </c>
      <c r="P64" s="21">
        <f t="shared" si="5"/>
        <v>-14.184782608695627</v>
      </c>
      <c r="Q64" s="210">
        <f t="shared" si="6"/>
        <v>0.96217391304347832</v>
      </c>
      <c r="R64" s="573"/>
      <c r="S64" s="49">
        <v>0.39999999999999997</v>
      </c>
      <c r="T64" s="49">
        <v>0.43194444444444441</v>
      </c>
      <c r="U64" s="205">
        <f t="shared" si="43"/>
        <v>4.9999999999999822</v>
      </c>
      <c r="V64" s="215">
        <f t="shared" si="41"/>
        <v>46</v>
      </c>
      <c r="W64" s="205"/>
      <c r="X64" s="205"/>
      <c r="Y64" s="208"/>
      <c r="Z64" s="208"/>
      <c r="AA64" s="568"/>
      <c r="AB64" s="569"/>
      <c r="AC64" s="50"/>
      <c r="AD64" s="27"/>
      <c r="AE64" s="20">
        <f t="shared" si="42"/>
        <v>-113.47826086956502</v>
      </c>
      <c r="AF64" s="210">
        <f t="shared" si="9"/>
        <v>0.96217391304347832</v>
      </c>
      <c r="AG64" s="573"/>
    </row>
    <row r="65" spans="1:33">
      <c r="A65" s="581" t="s">
        <v>1124</v>
      </c>
      <c r="B65" s="39" t="s">
        <v>46</v>
      </c>
      <c r="C65" s="576"/>
      <c r="D65" s="576"/>
      <c r="E65" s="211"/>
      <c r="F65" s="42"/>
      <c r="G65" s="18"/>
      <c r="H65" s="216"/>
      <c r="I65" s="32">
        <v>9.5</v>
      </c>
      <c r="J65" s="43">
        <v>3000</v>
      </c>
      <c r="K65" s="18">
        <f t="shared" si="1"/>
        <v>315.78947368421052</v>
      </c>
      <c r="L65" s="32">
        <v>9.5</v>
      </c>
      <c r="M65" s="19">
        <f>AVERAGE(M59:M64)</f>
        <v>2876.8557495289042</v>
      </c>
      <c r="N65" s="18">
        <f t="shared" si="3"/>
        <v>302.82692100304257</v>
      </c>
      <c r="O65" s="20">
        <f t="shared" si="4"/>
        <v>0</v>
      </c>
      <c r="P65" s="21">
        <f t="shared" si="5"/>
        <v>-12.962552681167949</v>
      </c>
      <c r="Q65" s="210">
        <f t="shared" si="6"/>
        <v>0.95895191650963485</v>
      </c>
      <c r="R65" s="573"/>
      <c r="S65" s="49"/>
      <c r="T65" s="49"/>
      <c r="U65" s="18"/>
      <c r="V65" s="215"/>
      <c r="W65" s="18"/>
      <c r="X65" s="18"/>
      <c r="Y65" s="33">
        <f>SUM(Y59:Y64)</f>
        <v>0</v>
      </c>
      <c r="Z65" s="33">
        <f>SUM(Z59:Z64)</f>
        <v>0</v>
      </c>
      <c r="AA65" s="572"/>
      <c r="AB65" s="572"/>
      <c r="AC65" s="33">
        <v>6</v>
      </c>
      <c r="AD65" s="33">
        <f>SUM(AD59:AD64)</f>
        <v>0</v>
      </c>
      <c r="AE65" s="20">
        <f t="shared" si="42"/>
        <v>-123.1442504710958</v>
      </c>
      <c r="AF65" s="210">
        <f t="shared" si="9"/>
        <v>0.95895191650963474</v>
      </c>
      <c r="AG65" s="573"/>
    </row>
    <row r="66" spans="1:33" ht="15.75" customHeight="1">
      <c r="A66" s="577" t="s">
        <v>1125</v>
      </c>
      <c r="B66" s="216" t="s">
        <v>94</v>
      </c>
      <c r="C66" s="574" t="s">
        <v>124</v>
      </c>
      <c r="D66" s="574"/>
      <c r="E66" s="39">
        <v>22.69</v>
      </c>
      <c r="F66" s="216">
        <v>5752</v>
      </c>
      <c r="G66" s="205">
        <f t="shared" ref="G66:G72" si="44">E66*F66</f>
        <v>130512.88</v>
      </c>
      <c r="H66" s="48" t="s">
        <v>126</v>
      </c>
      <c r="I66" s="214">
        <v>15</v>
      </c>
      <c r="J66" s="43">
        <v>2400</v>
      </c>
      <c r="K66" s="18">
        <f t="shared" si="1"/>
        <v>160</v>
      </c>
      <c r="L66" s="214">
        <v>15</v>
      </c>
      <c r="M66" s="19">
        <f t="shared" ref="M66:M72" si="45">F66/V66*60</f>
        <v>2285.5629139072844</v>
      </c>
      <c r="N66" s="18">
        <f t="shared" si="3"/>
        <v>152.37086092715228</v>
      </c>
      <c r="O66" s="20">
        <f t="shared" si="4"/>
        <v>0</v>
      </c>
      <c r="P66" s="21">
        <f t="shared" si="5"/>
        <v>-7.6291390728477211</v>
      </c>
      <c r="Q66" s="210">
        <f t="shared" si="6"/>
        <v>0.9523178807947017</v>
      </c>
      <c r="R66" s="573">
        <f>Q73</f>
        <v>0.95587427603510822</v>
      </c>
      <c r="S66" s="49">
        <v>8.3333333333333329E-2</v>
      </c>
      <c r="T66" s="49">
        <v>0.18819444444444444</v>
      </c>
      <c r="U66" s="30"/>
      <c r="V66" s="215">
        <f t="shared" ref="V66:V72" si="46">(T66-S66)*24*60</f>
        <v>151</v>
      </c>
      <c r="W66" s="25">
        <f>T66</f>
        <v>0.18819444444444444</v>
      </c>
      <c r="X66" s="25">
        <f>S67</f>
        <v>0.20694444444444446</v>
      </c>
      <c r="Y66" s="25"/>
      <c r="Z66" s="25"/>
      <c r="AA66" s="575"/>
      <c r="AB66" s="575"/>
      <c r="AC66" s="50">
        <v>7</v>
      </c>
      <c r="AD66" s="27"/>
      <c r="AE66" s="20">
        <f t="shared" si="42"/>
        <v>-114.43708609271562</v>
      </c>
      <c r="AF66" s="210">
        <f t="shared" si="9"/>
        <v>0.95231788079470181</v>
      </c>
      <c r="AG66" s="573">
        <f>AF73</f>
        <v>0.95587427603510833</v>
      </c>
    </row>
    <row r="67" spans="1:33" ht="15.75" customHeight="1">
      <c r="A67" s="578" t="s">
        <v>71</v>
      </c>
      <c r="B67" s="216" t="s">
        <v>94</v>
      </c>
      <c r="C67" s="574" t="s">
        <v>123</v>
      </c>
      <c r="D67" s="574"/>
      <c r="E67" s="39">
        <v>20.21</v>
      </c>
      <c r="F67" s="216">
        <v>4097</v>
      </c>
      <c r="G67" s="205">
        <f t="shared" si="44"/>
        <v>82800.37000000001</v>
      </c>
      <c r="H67" s="48" t="s">
        <v>126</v>
      </c>
      <c r="I67" s="214">
        <v>15</v>
      </c>
      <c r="J67" s="43">
        <v>2400</v>
      </c>
      <c r="K67" s="18">
        <f t="shared" si="1"/>
        <v>160</v>
      </c>
      <c r="L67" s="214">
        <v>15</v>
      </c>
      <c r="M67" s="19">
        <f t="shared" si="45"/>
        <v>2297.3831775700937</v>
      </c>
      <c r="N67" s="18">
        <f t="shared" si="3"/>
        <v>153.15887850467291</v>
      </c>
      <c r="O67" s="20">
        <f t="shared" si="4"/>
        <v>0</v>
      </c>
      <c r="P67" s="21">
        <f t="shared" si="5"/>
        <v>-6.8411214953270871</v>
      </c>
      <c r="Q67" s="210">
        <f t="shared" si="6"/>
        <v>0.95724299065420571</v>
      </c>
      <c r="R67" s="573"/>
      <c r="S67" s="49">
        <v>0.20694444444444446</v>
      </c>
      <c r="T67" s="49">
        <v>0.28125</v>
      </c>
      <c r="U67" s="205">
        <f t="shared" ref="U67:U72" si="47">(S67-T66)*24*60</f>
        <v>27.000000000000025</v>
      </c>
      <c r="V67" s="215">
        <f t="shared" si="46"/>
        <v>106.99999999999999</v>
      </c>
      <c r="W67" s="25"/>
      <c r="X67" s="25"/>
      <c r="Y67" s="25"/>
      <c r="Z67" s="25"/>
      <c r="AA67" s="575"/>
      <c r="AB67" s="575"/>
      <c r="AC67" s="50"/>
      <c r="AD67" s="27"/>
      <c r="AE67" s="20">
        <f t="shared" si="42"/>
        <v>-102.61682242990628</v>
      </c>
      <c r="AF67" s="210">
        <f t="shared" si="9"/>
        <v>0.95724299065420571</v>
      </c>
      <c r="AG67" s="573"/>
    </row>
    <row r="68" spans="1:33" ht="15.75" customHeight="1">
      <c r="A68" s="578" t="s">
        <v>71</v>
      </c>
      <c r="B68" s="216" t="s">
        <v>94</v>
      </c>
      <c r="C68" s="574" t="s">
        <v>125</v>
      </c>
      <c r="D68" s="574"/>
      <c r="E68" s="39">
        <v>19.02</v>
      </c>
      <c r="F68" s="216">
        <v>7800</v>
      </c>
      <c r="G68" s="205">
        <f t="shared" si="44"/>
        <v>148356</v>
      </c>
      <c r="H68" s="48">
        <v>2</v>
      </c>
      <c r="I68" s="214">
        <v>14</v>
      </c>
      <c r="J68" s="43">
        <v>2400</v>
      </c>
      <c r="K68" s="18">
        <f t="shared" si="1"/>
        <v>171.42857142857142</v>
      </c>
      <c r="L68" s="214">
        <v>14</v>
      </c>
      <c r="M68" s="19">
        <f t="shared" si="45"/>
        <v>2294.1176470588234</v>
      </c>
      <c r="N68" s="18">
        <f t="shared" si="3"/>
        <v>163.8655462184874</v>
      </c>
      <c r="O68" s="20">
        <f t="shared" si="4"/>
        <v>0</v>
      </c>
      <c r="P68" s="21">
        <f t="shared" si="5"/>
        <v>-7.563025210084021</v>
      </c>
      <c r="Q68" s="210">
        <f t="shared" si="6"/>
        <v>0.95588235294117652</v>
      </c>
      <c r="R68" s="573"/>
      <c r="S68" s="49">
        <v>0.28472222222222221</v>
      </c>
      <c r="T68" s="49">
        <v>0.42638888888888887</v>
      </c>
      <c r="U68" s="205">
        <f t="shared" si="47"/>
        <v>4.9999999999999822</v>
      </c>
      <c r="V68" s="215">
        <f t="shared" si="46"/>
        <v>204</v>
      </c>
      <c r="W68" s="25"/>
      <c r="X68" s="25"/>
      <c r="Y68" s="25"/>
      <c r="Z68" s="25"/>
      <c r="AA68" s="575"/>
      <c r="AB68" s="575"/>
      <c r="AC68" s="50"/>
      <c r="AD68" s="27"/>
      <c r="AE68" s="20">
        <f t="shared" si="42"/>
        <v>-105.88235294117658</v>
      </c>
      <c r="AF68" s="210">
        <f t="shared" si="9"/>
        <v>0.95588235294117641</v>
      </c>
      <c r="AG68" s="573"/>
    </row>
    <row r="69" spans="1:33" ht="15.75" customHeight="1">
      <c r="A69" s="578" t="s">
        <v>71</v>
      </c>
      <c r="B69" s="216" t="s">
        <v>94</v>
      </c>
      <c r="C69" s="574" t="s">
        <v>99</v>
      </c>
      <c r="D69" s="574"/>
      <c r="E69" s="39">
        <v>20.36</v>
      </c>
      <c r="F69" s="216">
        <v>3500</v>
      </c>
      <c r="G69" s="205">
        <f t="shared" si="44"/>
        <v>71260</v>
      </c>
      <c r="H69" s="48">
        <v>2</v>
      </c>
      <c r="I69" s="214">
        <v>18</v>
      </c>
      <c r="J69" s="43">
        <v>2400</v>
      </c>
      <c r="K69" s="18">
        <f t="shared" ref="K69:K73" si="48">J69/I69</f>
        <v>133.33333333333334</v>
      </c>
      <c r="L69" s="214">
        <v>18</v>
      </c>
      <c r="M69" s="19">
        <f t="shared" si="45"/>
        <v>2282.608695652174</v>
      </c>
      <c r="N69" s="18">
        <f t="shared" ref="N69:N73" si="49">M69/L69</f>
        <v>126.81159420289856</v>
      </c>
      <c r="O69" s="20">
        <f t="shared" ref="O69:O73" si="50">L69-I69</f>
        <v>0</v>
      </c>
      <c r="P69" s="21">
        <f t="shared" ref="P69:P73" si="51">N69-K69</f>
        <v>-6.5217391304347814</v>
      </c>
      <c r="Q69" s="210">
        <f t="shared" ref="Q69:Q73" si="52">N69/K69</f>
        <v>0.95108695652173914</v>
      </c>
      <c r="R69" s="573"/>
      <c r="S69" s="49">
        <v>0.43194444444444441</v>
      </c>
      <c r="T69" s="49">
        <v>0.49583333333333329</v>
      </c>
      <c r="U69" s="205">
        <f t="shared" si="47"/>
        <v>7.9999999999999716</v>
      </c>
      <c r="V69" s="215">
        <f t="shared" si="46"/>
        <v>92</v>
      </c>
      <c r="W69" s="25">
        <f>T69</f>
        <v>0.49583333333333329</v>
      </c>
      <c r="X69" s="25">
        <f>S70</f>
        <v>0.53611111111111109</v>
      </c>
      <c r="Y69" s="25"/>
      <c r="Z69" s="25"/>
      <c r="AA69" s="575"/>
      <c r="AB69" s="575"/>
      <c r="AC69" s="50"/>
      <c r="AD69" s="27"/>
      <c r="AE69" s="20">
        <f t="shared" si="42"/>
        <v>-117.39130434782601</v>
      </c>
      <c r="AF69" s="210">
        <f t="shared" ref="AF69:AF73" si="53">M69/J69</f>
        <v>0.95108695652173914</v>
      </c>
      <c r="AG69" s="573"/>
    </row>
    <row r="70" spans="1:33" ht="15.75" customHeight="1">
      <c r="A70" s="578" t="s">
        <v>1126</v>
      </c>
      <c r="B70" s="216" t="s">
        <v>94</v>
      </c>
      <c r="C70" s="574" t="s">
        <v>125</v>
      </c>
      <c r="D70" s="574"/>
      <c r="E70" s="39">
        <v>19.02</v>
      </c>
      <c r="F70" s="216">
        <v>6289</v>
      </c>
      <c r="G70" s="205">
        <f t="shared" si="44"/>
        <v>119616.78</v>
      </c>
      <c r="H70" s="48" t="s">
        <v>126</v>
      </c>
      <c r="I70" s="214">
        <v>14</v>
      </c>
      <c r="J70" s="43">
        <v>2400</v>
      </c>
      <c r="K70" s="18">
        <f t="shared" si="48"/>
        <v>171.42857142857142</v>
      </c>
      <c r="L70" s="214">
        <v>14</v>
      </c>
      <c r="M70" s="19">
        <f t="shared" si="45"/>
        <v>2286.9090909090901</v>
      </c>
      <c r="N70" s="18">
        <f t="shared" si="49"/>
        <v>163.35064935064929</v>
      </c>
      <c r="O70" s="20">
        <f t="shared" si="50"/>
        <v>0</v>
      </c>
      <c r="P70" s="21">
        <f t="shared" si="51"/>
        <v>-8.0779220779221248</v>
      </c>
      <c r="Q70" s="210">
        <f t="shared" si="52"/>
        <v>0.95287878787878755</v>
      </c>
      <c r="R70" s="573"/>
      <c r="S70" s="49">
        <v>0.53611111111111109</v>
      </c>
      <c r="T70" s="49">
        <v>0.65069444444444446</v>
      </c>
      <c r="U70" s="205">
        <f t="shared" si="47"/>
        <v>58.000000000000036</v>
      </c>
      <c r="V70" s="215">
        <f t="shared" si="46"/>
        <v>165.00000000000006</v>
      </c>
      <c r="W70" s="25"/>
      <c r="X70" s="25"/>
      <c r="Y70" s="25"/>
      <c r="Z70" s="25"/>
      <c r="AA70" s="575"/>
      <c r="AB70" s="575"/>
      <c r="AC70" s="50"/>
      <c r="AD70" s="27"/>
      <c r="AE70" s="20">
        <f t="shared" si="42"/>
        <v>-113.09090909090992</v>
      </c>
      <c r="AF70" s="210">
        <f t="shared" si="53"/>
        <v>0.95287878787878755</v>
      </c>
      <c r="AG70" s="573"/>
    </row>
    <row r="71" spans="1:33" ht="15.75" customHeight="1">
      <c r="A71" s="578" t="s">
        <v>1126</v>
      </c>
      <c r="B71" s="216" t="s">
        <v>94</v>
      </c>
      <c r="C71" s="574" t="s">
        <v>99</v>
      </c>
      <c r="D71" s="574"/>
      <c r="E71" s="39">
        <v>20.36</v>
      </c>
      <c r="F71" s="216">
        <v>2698</v>
      </c>
      <c r="G71" s="205">
        <f t="shared" si="44"/>
        <v>54931.28</v>
      </c>
      <c r="H71" s="48" t="s">
        <v>126</v>
      </c>
      <c r="I71" s="214">
        <v>18</v>
      </c>
      <c r="J71" s="43">
        <v>2400</v>
      </c>
      <c r="K71" s="18">
        <f t="shared" si="48"/>
        <v>133.33333333333334</v>
      </c>
      <c r="L71" s="214">
        <v>18</v>
      </c>
      <c r="M71" s="19">
        <f t="shared" si="45"/>
        <v>2312.5714285714262</v>
      </c>
      <c r="N71" s="18">
        <f t="shared" si="49"/>
        <v>128.47619047619034</v>
      </c>
      <c r="O71" s="20">
        <f t="shared" si="50"/>
        <v>0</v>
      </c>
      <c r="P71" s="21">
        <f t="shared" si="51"/>
        <v>-4.8571428571430033</v>
      </c>
      <c r="Q71" s="210">
        <f t="shared" si="52"/>
        <v>0.96357142857142752</v>
      </c>
      <c r="R71" s="573"/>
      <c r="S71" s="49">
        <v>0.65486111111111112</v>
      </c>
      <c r="T71" s="49">
        <v>0.70347222222222228</v>
      </c>
      <c r="U71" s="205">
        <f t="shared" si="47"/>
        <v>5.9999999999999787</v>
      </c>
      <c r="V71" s="215">
        <f t="shared" si="46"/>
        <v>70.000000000000071</v>
      </c>
      <c r="W71" s="25"/>
      <c r="X71" s="25"/>
      <c r="Y71" s="25"/>
      <c r="Z71" s="25"/>
      <c r="AA71" s="575"/>
      <c r="AB71" s="575"/>
      <c r="AC71" s="50"/>
      <c r="AD71" s="27"/>
      <c r="AE71" s="20">
        <f t="shared" si="42"/>
        <v>-87.428571428573832</v>
      </c>
      <c r="AF71" s="210">
        <f t="shared" si="53"/>
        <v>0.96357142857142752</v>
      </c>
      <c r="AG71" s="573"/>
    </row>
    <row r="72" spans="1:33" ht="15.75" customHeight="1">
      <c r="A72" s="578" t="s">
        <v>1126</v>
      </c>
      <c r="B72" s="216" t="s">
        <v>94</v>
      </c>
      <c r="C72" s="566" t="s">
        <v>529</v>
      </c>
      <c r="D72" s="567"/>
      <c r="E72" s="39">
        <v>26.18</v>
      </c>
      <c r="F72" s="216">
        <v>3296</v>
      </c>
      <c r="G72" s="205">
        <f t="shared" si="44"/>
        <v>86289.279999999999</v>
      </c>
      <c r="H72" s="48" t="s">
        <v>126</v>
      </c>
      <c r="I72" s="214">
        <v>19</v>
      </c>
      <c r="J72" s="43">
        <v>2400</v>
      </c>
      <c r="K72" s="18">
        <f t="shared" si="48"/>
        <v>126.31578947368421</v>
      </c>
      <c r="L72" s="214">
        <v>19</v>
      </c>
      <c r="M72" s="19">
        <f t="shared" si="45"/>
        <v>2299.5348837209299</v>
      </c>
      <c r="N72" s="18">
        <f t="shared" si="49"/>
        <v>121.02815177478578</v>
      </c>
      <c r="O72" s="20">
        <f t="shared" si="50"/>
        <v>0</v>
      </c>
      <c r="P72" s="21">
        <f t="shared" si="51"/>
        <v>-5.2876376988984219</v>
      </c>
      <c r="Q72" s="210">
        <f t="shared" si="52"/>
        <v>0.95813953488372083</v>
      </c>
      <c r="R72" s="573"/>
      <c r="S72" s="49">
        <v>0.70833333333333337</v>
      </c>
      <c r="T72" s="49">
        <v>0.7680555555555556</v>
      </c>
      <c r="U72" s="205">
        <f t="shared" si="47"/>
        <v>6.9999999999999751</v>
      </c>
      <c r="V72" s="215">
        <f t="shared" si="46"/>
        <v>86.000000000000014</v>
      </c>
      <c r="W72" s="25"/>
      <c r="X72" s="25"/>
      <c r="Y72" s="28"/>
      <c r="Z72" s="28"/>
      <c r="AA72" s="568"/>
      <c r="AB72" s="569"/>
      <c r="AC72" s="50"/>
      <c r="AD72" s="27"/>
      <c r="AE72" s="20">
        <f t="shared" si="42"/>
        <v>-100.46511627907012</v>
      </c>
      <c r="AF72" s="210">
        <f t="shared" si="53"/>
        <v>0.95813953488372083</v>
      </c>
      <c r="AG72" s="573"/>
    </row>
    <row r="73" spans="1:33" ht="16.5" customHeight="1">
      <c r="A73" s="579" t="s">
        <v>1126</v>
      </c>
      <c r="B73" s="39" t="s">
        <v>1127</v>
      </c>
      <c r="C73" s="570"/>
      <c r="D73" s="571"/>
      <c r="E73" s="211"/>
      <c r="F73" s="42"/>
      <c r="G73" s="18"/>
      <c r="H73" s="216"/>
      <c r="I73" s="32">
        <v>16.142857142857142</v>
      </c>
      <c r="J73" s="43">
        <v>2400</v>
      </c>
      <c r="K73" s="18">
        <f t="shared" si="48"/>
        <v>148.67256637168143</v>
      </c>
      <c r="L73" s="32">
        <v>16.142857142857142</v>
      </c>
      <c r="M73" s="19">
        <f>AVERAGE(M66:M72)</f>
        <v>2294.09826248426</v>
      </c>
      <c r="N73" s="18">
        <f t="shared" si="49"/>
        <v>142.11228174681256</v>
      </c>
      <c r="O73" s="20">
        <f t="shared" si="50"/>
        <v>0</v>
      </c>
      <c r="P73" s="21">
        <f t="shared" si="51"/>
        <v>-6.5602846248688707</v>
      </c>
      <c r="Q73" s="210">
        <f t="shared" si="52"/>
        <v>0.95587427603510822</v>
      </c>
      <c r="R73" s="573"/>
      <c r="S73" s="49"/>
      <c r="T73" s="49"/>
      <c r="U73" s="18"/>
      <c r="V73" s="215"/>
      <c r="W73" s="18"/>
      <c r="X73" s="18"/>
      <c r="Y73" s="33">
        <f>SUM(Y66:Y72)</f>
        <v>0</v>
      </c>
      <c r="Z73" s="33">
        <f>SUM(Z66:Z72)</f>
        <v>0</v>
      </c>
      <c r="AA73" s="572"/>
      <c r="AB73" s="572"/>
      <c r="AC73" s="33">
        <v>7</v>
      </c>
      <c r="AD73" s="33">
        <f>SUM(AD66:AD72)</f>
        <v>0</v>
      </c>
      <c r="AE73" s="20">
        <f t="shared" si="42"/>
        <v>-105.90173751574002</v>
      </c>
      <c r="AF73" s="210">
        <f t="shared" si="53"/>
        <v>0.95587427603510833</v>
      </c>
      <c r="AG73" s="573"/>
    </row>
    <row r="74" spans="1:33">
      <c r="D74" s="35"/>
      <c r="E74" s="35"/>
    </row>
  </sheetData>
  <mergeCells count="197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4"/>
    <mergeCell ref="C11:D11"/>
    <mergeCell ref="R11:R14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5:AG21"/>
    <mergeCell ref="C16:D16"/>
    <mergeCell ref="AA16:AB16"/>
    <mergeCell ref="C17:D17"/>
    <mergeCell ref="AA17:AB17"/>
    <mergeCell ref="C18:D18"/>
    <mergeCell ref="AG11:AG14"/>
    <mergeCell ref="C12:D12"/>
    <mergeCell ref="AA12:AB12"/>
    <mergeCell ref="C13:D13"/>
    <mergeCell ref="AA13:AB13"/>
    <mergeCell ref="C14:D14"/>
    <mergeCell ref="AA14:AB14"/>
    <mergeCell ref="AA18:AB18"/>
    <mergeCell ref="C19:D19"/>
    <mergeCell ref="AA19:AB19"/>
    <mergeCell ref="C21:D21"/>
    <mergeCell ref="AA21:AB21"/>
    <mergeCell ref="A22:A29"/>
    <mergeCell ref="C22:D22"/>
    <mergeCell ref="R22:R29"/>
    <mergeCell ref="AA22:AB22"/>
    <mergeCell ref="AA27:AB27"/>
    <mergeCell ref="A15:A21"/>
    <mergeCell ref="C15:D15"/>
    <mergeCell ref="R15:R21"/>
    <mergeCell ref="AA15:AB15"/>
    <mergeCell ref="AG22:AG29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C29:D29"/>
    <mergeCell ref="AA29:AB29"/>
    <mergeCell ref="A30:A37"/>
    <mergeCell ref="C30:D30"/>
    <mergeCell ref="R30:R37"/>
    <mergeCell ref="AA30:AB30"/>
    <mergeCell ref="AA35:AB35"/>
    <mergeCell ref="C36:D36"/>
    <mergeCell ref="AG30:AG37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36:AB36"/>
    <mergeCell ref="C37:D37"/>
    <mergeCell ref="AA37:AB37"/>
    <mergeCell ref="A38:A45"/>
    <mergeCell ref="C38:D38"/>
    <mergeCell ref="R38:R45"/>
    <mergeCell ref="AA38:AB38"/>
    <mergeCell ref="AA43:AB43"/>
    <mergeCell ref="C44:D44"/>
    <mergeCell ref="AA44:AB44"/>
    <mergeCell ref="C45:D45"/>
    <mergeCell ref="AA45:AB45"/>
    <mergeCell ref="AG38:AG45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G51:AG58"/>
    <mergeCell ref="C52:D52"/>
    <mergeCell ref="AA52:AB52"/>
    <mergeCell ref="C53:D53"/>
    <mergeCell ref="AA53:AB53"/>
    <mergeCell ref="AA54:AB54"/>
    <mergeCell ref="A46:A50"/>
    <mergeCell ref="C46:D46"/>
    <mergeCell ref="R46:R50"/>
    <mergeCell ref="AA46:AB46"/>
    <mergeCell ref="AG46:AG50"/>
    <mergeCell ref="C47:D47"/>
    <mergeCell ref="AA47:AB47"/>
    <mergeCell ref="C48:D48"/>
    <mergeCell ref="AA48:AB48"/>
    <mergeCell ref="C49:D49"/>
    <mergeCell ref="AA49:AB49"/>
    <mergeCell ref="C50:D50"/>
    <mergeCell ref="AA50:AB50"/>
    <mergeCell ref="C65:D65"/>
    <mergeCell ref="AA65:AB65"/>
    <mergeCell ref="A51:A58"/>
    <mergeCell ref="C51:D51"/>
    <mergeCell ref="R51:R58"/>
    <mergeCell ref="AA51:AB51"/>
    <mergeCell ref="C60:D60"/>
    <mergeCell ref="AA60:AB60"/>
    <mergeCell ref="C61:D61"/>
    <mergeCell ref="AA61:AB61"/>
    <mergeCell ref="C62:D62"/>
    <mergeCell ref="AA55:AB55"/>
    <mergeCell ref="C56:D56"/>
    <mergeCell ref="AA56:AB56"/>
    <mergeCell ref="C57:D57"/>
    <mergeCell ref="AA57:AB57"/>
    <mergeCell ref="C58:D58"/>
    <mergeCell ref="AA58:AB58"/>
    <mergeCell ref="AA62:AB62"/>
    <mergeCell ref="A59:A65"/>
    <mergeCell ref="C59:D59"/>
    <mergeCell ref="R59:R65"/>
    <mergeCell ref="AA59:AB59"/>
    <mergeCell ref="AG59:AG65"/>
    <mergeCell ref="C63:D63"/>
    <mergeCell ref="AA63:AB63"/>
    <mergeCell ref="C64:D64"/>
    <mergeCell ref="A66:A73"/>
    <mergeCell ref="C66:D66"/>
    <mergeCell ref="R66:R73"/>
    <mergeCell ref="AA66:AB66"/>
    <mergeCell ref="AG66:AG73"/>
    <mergeCell ref="C67:D67"/>
    <mergeCell ref="AA67:AB67"/>
    <mergeCell ref="C68:D68"/>
    <mergeCell ref="AA68:AB68"/>
    <mergeCell ref="C69:D69"/>
    <mergeCell ref="C73:D73"/>
    <mergeCell ref="AA73:AB73"/>
    <mergeCell ref="AA69:AB69"/>
    <mergeCell ref="C70:D70"/>
    <mergeCell ref="AA70:AB70"/>
    <mergeCell ref="C71:D71"/>
    <mergeCell ref="AA71:AB71"/>
    <mergeCell ref="C72:D72"/>
    <mergeCell ref="AA72:AB72"/>
    <mergeCell ref="AA64:AB64"/>
  </mergeCells>
  <phoneticPr fontId="3" type="noConversion"/>
  <conditionalFormatting sqref="O62:O71 O58:O59 O73 O5:O11 O14:O16 O21:O56">
    <cfRule type="cellIs" dxfId="585" priority="48" operator="greaterThan">
      <formula>0</formula>
    </cfRule>
  </conditionalFormatting>
  <conditionalFormatting sqref="P5:P9 P62:P64 AE62:AE64 P66:P71 P30:P36 P59 P11 P14:P16 P22:P28 P51:P56 AE66:AE73 P38:P49 AE5:AE59">
    <cfRule type="cellIs" dxfId="584" priority="52" operator="lessThan">
      <formula>0</formula>
    </cfRule>
  </conditionalFormatting>
  <conditionalFormatting sqref="AF62:AF64 Q62:Q71 Q58:Q59 Q73 Q5:Q11 Q14:Q16 AF66:AF73 Q21:Q56 AF5:AF59">
    <cfRule type="cellIs" dxfId="583" priority="49" operator="greaterThan">
      <formula>1</formula>
    </cfRule>
    <cfRule type="cellIs" dxfId="582" priority="50" operator="lessThan">
      <formula>0.8</formula>
    </cfRule>
  </conditionalFormatting>
  <conditionalFormatting sqref="AG15:AG16 R15:R16 AG62 R62:R71 R21:R27 AG21:AG27 AG58:AG59 R58:R59 R73 AG5:AG11 R5:R11 R29:R56 AG29:AG56">
    <cfRule type="cellIs" dxfId="581" priority="54" operator="lessThan">
      <formula>0.8</formula>
    </cfRule>
  </conditionalFormatting>
  <conditionalFormatting sqref="AG46">
    <cfRule type="cellIs" dxfId="580" priority="56" operator="lessThan">
      <formula>0.8</formula>
    </cfRule>
  </conditionalFormatting>
  <conditionalFormatting sqref="AG22:AG27">
    <cfRule type="cellIs" dxfId="579" priority="53" operator="lessThan">
      <formula>0.8</formula>
    </cfRule>
  </conditionalFormatting>
  <conditionalFormatting sqref="AG30">
    <cfRule type="cellIs" dxfId="578" priority="55" operator="lessThan">
      <formula>0.8</formula>
    </cfRule>
  </conditionalFormatting>
  <conditionalFormatting sqref="AG38:AG44">
    <cfRule type="cellIs" dxfId="577" priority="51" operator="lessThan">
      <formula>0.8</formula>
    </cfRule>
  </conditionalFormatting>
  <conditionalFormatting sqref="AE65">
    <cfRule type="cellIs" dxfId="576" priority="47" operator="lessThan">
      <formula>0</formula>
    </cfRule>
  </conditionalFormatting>
  <conditionalFormatting sqref="AF65">
    <cfRule type="cellIs" dxfId="575" priority="45" operator="greaterThan">
      <formula>1</formula>
    </cfRule>
    <cfRule type="cellIs" dxfId="574" priority="46" operator="lessThan">
      <formula>0.8</formula>
    </cfRule>
  </conditionalFormatting>
  <conditionalFormatting sqref="O17:O18">
    <cfRule type="cellIs" dxfId="573" priority="40" operator="greaterThan">
      <formula>0</formula>
    </cfRule>
  </conditionalFormatting>
  <conditionalFormatting sqref="P17:P18">
    <cfRule type="cellIs" dxfId="572" priority="43" operator="lessThan">
      <formula>0</formula>
    </cfRule>
  </conditionalFormatting>
  <conditionalFormatting sqref="Q17:Q18">
    <cfRule type="cellIs" dxfId="571" priority="41" operator="greaterThan">
      <formula>1</formula>
    </cfRule>
    <cfRule type="cellIs" dxfId="570" priority="42" operator="lessThan">
      <formula>0.8</formula>
    </cfRule>
  </conditionalFormatting>
  <conditionalFormatting sqref="R17:R18 AG17:AG18">
    <cfRule type="cellIs" dxfId="569" priority="44" operator="lessThan">
      <formula>0.8</formula>
    </cfRule>
  </conditionalFormatting>
  <conditionalFormatting sqref="O12:O13">
    <cfRule type="cellIs" dxfId="568" priority="36" operator="greaterThan">
      <formula>0</formula>
    </cfRule>
  </conditionalFormatting>
  <conditionalFormatting sqref="P12:P13">
    <cfRule type="cellIs" dxfId="567" priority="39" operator="lessThan">
      <formula>0</formula>
    </cfRule>
  </conditionalFormatting>
  <conditionalFormatting sqref="Q12:Q13">
    <cfRule type="cellIs" dxfId="566" priority="37" operator="greaterThan">
      <formula>1</formula>
    </cfRule>
    <cfRule type="cellIs" dxfId="565" priority="38" operator="lessThan">
      <formula>0.8</formula>
    </cfRule>
  </conditionalFormatting>
  <conditionalFormatting sqref="O57">
    <cfRule type="cellIs" dxfId="564" priority="31" operator="greaterThan">
      <formula>0</formula>
    </cfRule>
  </conditionalFormatting>
  <conditionalFormatting sqref="P57">
    <cfRule type="cellIs" dxfId="563" priority="34" operator="lessThan">
      <formula>0</formula>
    </cfRule>
  </conditionalFormatting>
  <conditionalFormatting sqref="Q57">
    <cfRule type="cellIs" dxfId="562" priority="32" operator="greaterThan">
      <formula>1</formula>
    </cfRule>
    <cfRule type="cellIs" dxfId="561" priority="33" operator="lessThan">
      <formula>0.8</formula>
    </cfRule>
  </conditionalFormatting>
  <conditionalFormatting sqref="R57 AG57">
    <cfRule type="cellIs" dxfId="560" priority="35" operator="lessThan">
      <formula>0.8</formula>
    </cfRule>
  </conditionalFormatting>
  <conditionalFormatting sqref="O61">
    <cfRule type="cellIs" dxfId="559" priority="26" operator="greaterThan">
      <formula>0</formula>
    </cfRule>
  </conditionalFormatting>
  <conditionalFormatting sqref="P61 AE61">
    <cfRule type="cellIs" dxfId="558" priority="29" operator="lessThan">
      <formula>0</formula>
    </cfRule>
  </conditionalFormatting>
  <conditionalFormatting sqref="Q61 AF61">
    <cfRule type="cellIs" dxfId="557" priority="27" operator="greaterThan">
      <formula>1</formula>
    </cfRule>
    <cfRule type="cellIs" dxfId="556" priority="28" operator="lessThan">
      <formula>0.8</formula>
    </cfRule>
  </conditionalFormatting>
  <conditionalFormatting sqref="R61 AG61">
    <cfRule type="cellIs" dxfId="555" priority="30" operator="lessThan">
      <formula>0.8</formula>
    </cfRule>
  </conditionalFormatting>
  <conditionalFormatting sqref="O72">
    <cfRule type="cellIs" dxfId="554" priority="21" operator="greaterThan">
      <formula>0</formula>
    </cfRule>
  </conditionalFormatting>
  <conditionalFormatting sqref="P72">
    <cfRule type="cellIs" dxfId="553" priority="24" operator="lessThan">
      <formula>0</formula>
    </cfRule>
  </conditionalFormatting>
  <conditionalFormatting sqref="Q72">
    <cfRule type="cellIs" dxfId="552" priority="22" operator="greaterThan">
      <formula>1</formula>
    </cfRule>
    <cfRule type="cellIs" dxfId="551" priority="23" operator="lessThan">
      <formula>0.8</formula>
    </cfRule>
  </conditionalFormatting>
  <conditionalFormatting sqref="R72">
    <cfRule type="cellIs" dxfId="550" priority="25" operator="lessThan">
      <formula>0.8</formula>
    </cfRule>
  </conditionalFormatting>
  <conditionalFormatting sqref="O19:O20">
    <cfRule type="cellIs" dxfId="549" priority="16" operator="greaterThan">
      <formula>0</formula>
    </cfRule>
  </conditionalFormatting>
  <conditionalFormatting sqref="P19:P20">
    <cfRule type="cellIs" dxfId="548" priority="19" operator="lessThan">
      <formula>0</formula>
    </cfRule>
  </conditionalFormatting>
  <conditionalFormatting sqref="Q19:Q20">
    <cfRule type="cellIs" dxfId="547" priority="17" operator="greaterThan">
      <formula>1</formula>
    </cfRule>
    <cfRule type="cellIs" dxfId="546" priority="18" operator="lessThan">
      <formula>0.8</formula>
    </cfRule>
  </conditionalFormatting>
  <conditionalFormatting sqref="R19:R20 AG19:AG20">
    <cfRule type="cellIs" dxfId="545" priority="20" operator="lessThan">
      <formula>0.8</formula>
    </cfRule>
  </conditionalFormatting>
  <conditionalFormatting sqref="R28 AG28">
    <cfRule type="cellIs" dxfId="544" priority="15" operator="lessThan">
      <formula>0.8</formula>
    </cfRule>
  </conditionalFormatting>
  <conditionalFormatting sqref="AG28">
    <cfRule type="cellIs" dxfId="543" priority="14" operator="lessThan">
      <formula>0.8</formula>
    </cfRule>
  </conditionalFormatting>
  <conditionalFormatting sqref="O60">
    <cfRule type="cellIs" dxfId="542" priority="9" operator="greaterThan">
      <formula>0</formula>
    </cfRule>
  </conditionalFormatting>
  <conditionalFormatting sqref="P60 AE60">
    <cfRule type="cellIs" dxfId="541" priority="12" operator="lessThan">
      <formula>0</formula>
    </cfRule>
  </conditionalFormatting>
  <conditionalFormatting sqref="Q60 AF60">
    <cfRule type="cellIs" dxfId="540" priority="10" operator="greaterThan">
      <formula>1</formula>
    </cfRule>
    <cfRule type="cellIs" dxfId="539" priority="11" operator="lessThan">
      <formula>0.8</formula>
    </cfRule>
  </conditionalFormatting>
  <conditionalFormatting sqref="R60 AG60">
    <cfRule type="cellIs" dxfId="538" priority="13" operator="lessThan">
      <formula>0.8</formula>
    </cfRule>
  </conditionalFormatting>
  <conditionalFormatting sqref="P10">
    <cfRule type="cellIs" dxfId="537" priority="8" operator="lessThan">
      <formula>0</formula>
    </cfRule>
  </conditionalFormatting>
  <conditionalFormatting sqref="P21">
    <cfRule type="cellIs" dxfId="536" priority="7" operator="lessThan">
      <formula>0</formula>
    </cfRule>
  </conditionalFormatting>
  <conditionalFormatting sqref="P29">
    <cfRule type="cellIs" dxfId="535" priority="6" operator="lessThan">
      <formula>0</formula>
    </cfRule>
  </conditionalFormatting>
  <conditionalFormatting sqref="P37">
    <cfRule type="cellIs" dxfId="534" priority="5" operator="lessThan">
      <formula>0</formula>
    </cfRule>
  </conditionalFormatting>
  <conditionalFormatting sqref="P50">
    <cfRule type="cellIs" dxfId="533" priority="4" operator="lessThan">
      <formula>0</formula>
    </cfRule>
  </conditionalFormatting>
  <conditionalFormatting sqref="P58">
    <cfRule type="cellIs" dxfId="532" priority="3" operator="lessThan">
      <formula>0</formula>
    </cfRule>
  </conditionalFormatting>
  <conditionalFormatting sqref="P65">
    <cfRule type="cellIs" dxfId="531" priority="2" operator="lessThan">
      <formula>0</formula>
    </cfRule>
  </conditionalFormatting>
  <conditionalFormatting sqref="P73">
    <cfRule type="cellIs" dxfId="530" priority="1" operator="lessThan">
      <formula>0</formula>
    </cfRule>
  </conditionalFormatting>
  <dataValidations count="1">
    <dataValidation type="list" allowBlank="1" showInputMessage="1" showErrorMessage="1" sqref="AB10 AA5:AB9 AB63:AB64 AA65:AB73 AA10:AA64 AB12:AB5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810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811</v>
      </c>
      <c r="C3" s="555" t="str">
        <f>TEXT('0509 4度C'!A2,"yyyy.mm.ddaaaa")</f>
        <v>2026.05.09星期六</v>
      </c>
      <c r="D3" s="556"/>
      <c r="E3" s="54" t="s">
        <v>812</v>
      </c>
      <c r="F3" s="557">
        <f>'0509 4度C'!D1</f>
        <v>155604</v>
      </c>
      <c r="G3" s="558"/>
      <c r="H3" s="54" t="s">
        <v>813</v>
      </c>
      <c r="I3" s="559">
        <f>'0509 4度C'!F1</f>
        <v>5226831.4000000004</v>
      </c>
      <c r="J3" s="560"/>
      <c r="K3" s="55"/>
      <c r="L3" s="56"/>
      <c r="M3" s="57"/>
      <c r="N3" s="57"/>
    </row>
    <row r="4" spans="2:17" ht="28.5" customHeight="1">
      <c r="B4" s="561" t="s">
        <v>814</v>
      </c>
      <c r="C4" s="547" t="s">
        <v>815</v>
      </c>
      <c r="D4" s="548"/>
      <c r="E4" s="564" t="s">
        <v>816</v>
      </c>
      <c r="F4" s="565"/>
      <c r="G4" s="564" t="s">
        <v>817</v>
      </c>
      <c r="H4" s="565"/>
      <c r="I4" s="564" t="s">
        <v>818</v>
      </c>
      <c r="J4" s="565"/>
      <c r="K4" s="545" t="s">
        <v>819</v>
      </c>
      <c r="L4" s="546"/>
      <c r="M4" s="546" t="s">
        <v>820</v>
      </c>
      <c r="N4" s="546"/>
    </row>
    <row r="5" spans="2:17" ht="28.5" customHeight="1">
      <c r="B5" s="562"/>
      <c r="C5" s="547" t="s">
        <v>821</v>
      </c>
      <c r="D5" s="548"/>
      <c r="E5" s="547" t="s">
        <v>822</v>
      </c>
      <c r="F5" s="548"/>
      <c r="G5" s="549" t="s">
        <v>823</v>
      </c>
      <c r="H5" s="550"/>
      <c r="I5" s="551" t="s">
        <v>824</v>
      </c>
      <c r="J5" s="552"/>
      <c r="K5" s="58" t="s">
        <v>825</v>
      </c>
      <c r="L5" s="59" t="s">
        <v>826</v>
      </c>
      <c r="M5" s="58" t="s">
        <v>827</v>
      </c>
      <c r="N5" s="59" t="s">
        <v>828</v>
      </c>
    </row>
    <row r="6" spans="2:17" ht="28.5" customHeight="1">
      <c r="B6" s="562"/>
      <c r="C6" s="547" t="s">
        <v>145</v>
      </c>
      <c r="D6" s="548"/>
      <c r="E6" s="539">
        <f>AVERAGE(D13:M13)</f>
        <v>152.40956436775244</v>
      </c>
      <c r="F6" s="540">
        <f>AVERAGE(D31:O31,D13:J13)</f>
        <v>157.34890230625913</v>
      </c>
      <c r="G6" s="541">
        <f>AVERAGE(D13:J13)</f>
        <v>157.34890230625913</v>
      </c>
      <c r="H6" s="542"/>
      <c r="I6" s="541">
        <f>AVERAGE(K13:M13)</f>
        <v>140.88444251123678</v>
      </c>
      <c r="J6" s="542"/>
      <c r="K6" s="543">
        <f>'0509 4度C'!Y2</f>
        <v>0</v>
      </c>
      <c r="L6" s="528">
        <f>'0509 4度C'!Z2</f>
        <v>0</v>
      </c>
      <c r="M6" s="544">
        <f>'0509 4度C'!AC2</f>
        <v>54</v>
      </c>
      <c r="N6" s="528">
        <f>'0509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146.41400713659553</v>
      </c>
      <c r="F7" s="532">
        <f>AVERAGE(D32:O32,D14:J14)</f>
        <v>151.42494178060906</v>
      </c>
      <c r="G7" s="533">
        <f>AVERAGE(D14:J14)</f>
        <v>151.42494178060906</v>
      </c>
      <c r="H7" s="534"/>
      <c r="I7" s="533">
        <f>AVERAGE(K14:M14)</f>
        <v>134.72182630056389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0.96034430886624789</v>
      </c>
      <c r="F8" s="536">
        <f>AVERAGE(D15:J15,D33:O33)</f>
        <v>0.96208497482319844</v>
      </c>
      <c r="G8" s="537">
        <f>AVERAGE(D15:J15)</f>
        <v>0.96208497482319844</v>
      </c>
      <c r="H8" s="538"/>
      <c r="I8" s="537">
        <f>AVERAGE(K15:M15)</f>
        <v>0.95628275496669657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829</v>
      </c>
      <c r="N9" s="57"/>
      <c r="O9" s="57"/>
      <c r="P9" s="57"/>
      <c r="Q9" s="57"/>
    </row>
    <row r="10" spans="2:17" ht="30" customHeight="1">
      <c r="B10" s="511" t="s">
        <v>830</v>
      </c>
      <c r="C10" s="512"/>
      <c r="D10" s="513" t="s">
        <v>831</v>
      </c>
      <c r="E10" s="514"/>
      <c r="F10" s="514"/>
      <c r="G10" s="514"/>
      <c r="H10" s="514"/>
      <c r="I10" s="514"/>
      <c r="J10" s="515"/>
      <c r="K10" s="516" t="s">
        <v>832</v>
      </c>
      <c r="L10" s="517"/>
      <c r="M10" s="518"/>
      <c r="P10" s="63"/>
      <c r="Q10" s="63"/>
    </row>
    <row r="11" spans="2:17" ht="17.25" customHeight="1">
      <c r="B11" s="519" t="s">
        <v>833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834</v>
      </c>
      <c r="C13" s="70" t="s">
        <v>835</v>
      </c>
      <c r="D13" s="71">
        <f>SUMIFS('0509 4度C'!$K:$K,'0509 4度C'!$A:$A,"新豐6線",'0509 4度C'!$B:$B,"平均")</f>
        <v>119.40298507462687</v>
      </c>
      <c r="E13" s="72">
        <f>SUMIFS('0509 4度C'!$K:$K,'0509 4度C'!$A:$A,"新豐2線",'0509 4度C'!$B:$B,"平均")</f>
        <v>84.905660377358487</v>
      </c>
      <c r="F13" s="73">
        <f>SUMIFS('0509 4度C'!$K:$K,'0509 4度C'!$A:$A,"新豐5線",'0509 4度C'!$B:$B,"平均")</f>
        <v>100</v>
      </c>
      <c r="G13" s="73">
        <f>SUMIFS('0509 4度C'!$K:$K,'0509 4度C'!$A:$A,"新豐7線",'0509 4度C'!$B:$B,"平均")</f>
        <v>121.05263157894737</v>
      </c>
      <c r="H13" s="73">
        <f>SUMIFS('0509 4度C'!$K:$K,'0509 4度C'!$A:$A,"新豐3線",'0509 4度C'!$B:$B,"平均")</f>
        <v>255.81395348837211</v>
      </c>
      <c r="I13" s="73">
        <f>SUMIFS('0509 4度C'!$K:$K,'0509 4度C'!$A:$A,"新豐1線",'0509 4度C'!$B:$B,"平均")</f>
        <v>104.47761194029852</v>
      </c>
      <c r="J13" s="74">
        <f>SUMIFS('0509 4度C'!$K:$K,'0509 4度C'!$A:$A,"新豐10線",'0509 4度C'!$B:$B,"平均")</f>
        <v>315.78947368421052</v>
      </c>
      <c r="K13" s="75">
        <f>SUMIFS('0509 4度C'!$K:$K,'0509 4度C'!$A:$A,"新豐8線",'0509 4度C'!$B:$B,"平均")</f>
        <v>138.84297520661158</v>
      </c>
      <c r="L13" s="76">
        <f>SUMIFS('0509 4度C'!$K:$K,'0509 4度C'!$A:$A,"新豐9線",'0509 4度C'!$B:$B,"平均")</f>
        <v>132.2314049586777</v>
      </c>
      <c r="M13" s="74">
        <f>SUMIFS('0509 4度C'!$K:$K,'0509 4度C'!$A:$A,"新豐4線",'0509 4度C'!$B:$B,"平均")</f>
        <v>151.57894736842104</v>
      </c>
    </row>
    <row r="14" spans="2:17" ht="39.6" customHeight="1">
      <c r="B14" s="524"/>
      <c r="C14" s="77" t="s">
        <v>836</v>
      </c>
      <c r="D14" s="78">
        <f>SUMIFS('0509 4度C'!$N:$N,'0509 4度C'!$A:$A,"新豐6線",'0509 4度C'!$B:$B,"平均")</f>
        <v>115.65348476640574</v>
      </c>
      <c r="E14" s="79">
        <f>SUMIFS('0509 4度C'!$N:$N,'0509 4度C'!$A:$A,"新豐2線",'0509 4度C'!$B:$B,"平均")</f>
        <v>81.088826831809229</v>
      </c>
      <c r="F14" s="79">
        <f>SUMIFS('0509 4度C'!$N:$N,'0509 4度C'!$A:$A,"新豐5線",'0509 4度C'!$B:$B,"平均")</f>
        <v>96.340181552774752</v>
      </c>
      <c r="G14" s="79">
        <f>SUMIFS('0509 4度C'!$N:$N,'0509 4度C'!$A:$A,"新豐7線",'0509 4度C'!$B:$B,"平均")</f>
        <v>116.31936759897282</v>
      </c>
      <c r="H14" s="79">
        <f>SUMIFS('0509 4度C'!$N:$N,'0509 4度C'!$A:$A,"新豐3線",'0509 4度C'!$B:$B,"平均")</f>
        <v>244.50269584390733</v>
      </c>
      <c r="I14" s="79">
        <f>SUMIFS('0509 4度C'!$N:$N,'0509 4度C'!$A:$A,"新豐1線",'0509 4度C'!$B:$B,"平均")</f>
        <v>100.70289326640902</v>
      </c>
      <c r="J14" s="80">
        <f>SUMIFS('0509 4度C'!$N:$N,'0509 4度C'!$A:$A,"新豐10線",'0509 4度C'!$B:$B,"平均")</f>
        <v>305.36714260398469</v>
      </c>
      <c r="K14" s="81">
        <f>SUMIFS('0509 4度C'!$N:$N,'0509 4度C'!$A:$A,"新豐8線",'0509 4度C'!$B:$B,"平均")</f>
        <v>132.71723179183334</v>
      </c>
      <c r="L14" s="82">
        <f>SUMIFS('0509 4度C'!$N:$N,'0509 4度C'!$A:$A,"新豐9線",'0509 4度C'!$B:$B,"平均")</f>
        <v>126.55817567319913</v>
      </c>
      <c r="M14" s="80">
        <f>SUMIFS('0509 4度C'!$N:$N,'0509 4度C'!$A:$A,"新豐4線",'0509 4度C'!$B:$B,"平均")</f>
        <v>144.89007143665918</v>
      </c>
    </row>
    <row r="15" spans="2:17" ht="40.15" customHeight="1">
      <c r="B15" s="525"/>
      <c r="C15" s="83" t="s">
        <v>837</v>
      </c>
      <c r="D15" s="84">
        <f t="shared" ref="D15:M15" si="0">D14/D13</f>
        <v>0.96859793491864798</v>
      </c>
      <c r="E15" s="85">
        <f t="shared" si="0"/>
        <v>0.95504618268575314</v>
      </c>
      <c r="F15" s="85">
        <f t="shared" si="0"/>
        <v>0.96340181552774751</v>
      </c>
      <c r="G15" s="85">
        <f t="shared" si="0"/>
        <v>0.96089912364368846</v>
      </c>
      <c r="H15" s="85">
        <f t="shared" si="0"/>
        <v>0.95578326557163773</v>
      </c>
      <c r="I15" s="85">
        <f t="shared" si="0"/>
        <v>0.96387054983562914</v>
      </c>
      <c r="J15" s="86">
        <f t="shared" si="0"/>
        <v>0.96699595157928486</v>
      </c>
      <c r="K15" s="84">
        <f t="shared" si="0"/>
        <v>0.95588006231022815</v>
      </c>
      <c r="L15" s="85">
        <f t="shared" si="0"/>
        <v>0.95709620352856828</v>
      </c>
      <c r="M15" s="86">
        <f t="shared" si="0"/>
        <v>0.95587199906129328</v>
      </c>
    </row>
    <row r="16" spans="2:17" ht="17.25" customHeight="1">
      <c r="B16" s="526" t="s">
        <v>838</v>
      </c>
      <c r="C16" s="87" t="s">
        <v>839</v>
      </c>
      <c r="D16" s="88">
        <f>VLOOKUP("新豐6線",'0509 4度C'!$A:$T,19,0)</f>
        <v>0.70833333333333337</v>
      </c>
      <c r="E16" s="89">
        <f>VLOOKUP("新豐2線",'0509 4度C'!$A:$T,19,0)</f>
        <v>0.20833333333333334</v>
      </c>
      <c r="F16" s="89">
        <f>VLOOKUP("新豐5線",'0509 4度C'!$A:$T,19,0)</f>
        <v>0.20833333333333334</v>
      </c>
      <c r="G16" s="89">
        <f>VLOOKUP("新豐7線",'0509 4度C'!$A:$T,19,0)</f>
        <v>0.20833333333333334</v>
      </c>
      <c r="H16" s="89">
        <f>VLOOKUP("新豐3線",'0509 4度C'!$A:$T,19,0)</f>
        <v>8.3333333333333329E-2</v>
      </c>
      <c r="I16" s="89">
        <f>VLOOKUP("新豐1線",'0509 4度C'!$A:$T,19,0)</f>
        <v>0.20833333333333334</v>
      </c>
      <c r="J16" s="90">
        <f>VLOOKUP("新豐10線",'0509 4度C'!$A:$T,19,0)</f>
        <v>0.20833333333333334</v>
      </c>
      <c r="K16" s="91">
        <f>VLOOKUP("新豐8線",'0509 4度C'!$A:$T,19,0)</f>
        <v>8.3333333333333329E-2</v>
      </c>
      <c r="L16" s="92">
        <f>VLOOKUP("新豐9線",'0509 4度C'!$A:$T,19,0)</f>
        <v>8.3333333333333329E-2</v>
      </c>
      <c r="M16" s="93">
        <f>VLOOKUP("新豐4線",'0509 4度C'!$A:$T,19,0)</f>
        <v>8.3333333333333329E-2</v>
      </c>
    </row>
    <row r="17" spans="2:13" ht="17.25" customHeight="1">
      <c r="B17" s="527"/>
      <c r="C17" s="87" t="s">
        <v>840</v>
      </c>
      <c r="D17" s="91">
        <f>LOOKUP(2,1/(('0509 4度C'!$A:$A="新豐6線")*('0509 4度C'!$T:$T&lt;&gt;"")),'0509 4度C'!$T:$T)</f>
        <v>0.84236111111111112</v>
      </c>
      <c r="E17" s="89">
        <f>LOOKUP(2,1/(('0509 4度C'!$A:$A="新豐2線")*('0509 4度C'!$T:$T&lt;&gt;"")),'0509 4度C'!$T:$T)</f>
        <v>0.57430555555555551</v>
      </c>
      <c r="F17" s="89">
        <f>LOOKUP(2,1/(('0509 4度C'!$A:$A="新豐5線")*('0509 4度C'!$T:$T&lt;&gt;"")),'0509 4度C'!$T:$T)</f>
        <v>0.82708333333333339</v>
      </c>
      <c r="G17" s="89">
        <f>LOOKUP(2,1/(('0509 4度C'!$A:$A="新豐7線")*('0509 4度C'!$T:$T&lt;&gt;"")),'0509 4度C'!$T:$T)</f>
        <v>0.80625000000000002</v>
      </c>
      <c r="H17" s="89">
        <f>LOOKUP(2,1/(('0509 4度C'!$A:$A="新豐3線")*('0509 4度C'!$T:$T&lt;&gt;"")),'0509 4度C'!$T:$T)</f>
        <v>0.39027777777777778</v>
      </c>
      <c r="I17" s="89">
        <f>LOOKUP(2,1/(('0509 4度C'!$A:$A="新豐1線")*('0509 4度C'!$T:$T&lt;&gt;"")),'0509 4度C'!$T:$T)</f>
        <v>0.80972222222222223</v>
      </c>
      <c r="J17" s="90">
        <f>LOOKUP(2,1/(('0509 4度C'!$A:$A="新豐10線")*('0509 4度C'!$T:$T&lt;&gt;"")),'0509 4度C'!$T:$T)</f>
        <v>0.40902777777777771</v>
      </c>
      <c r="K17" s="88">
        <f>LOOKUP(2,1/(('0509 4度C'!$A:$A="新豐8線")*('0509 4度C'!$T:$T&lt;&gt;"")),'0509 4度C'!$T:$T)</f>
        <v>0.6895833333333331</v>
      </c>
      <c r="L17" s="89">
        <f>LOOKUP(2,1/(('0509 4度C'!$A:$A="新豐9線")*('0509 4度C'!$T:$T&lt;&gt;"")),'0509 4度C'!$T:$T)</f>
        <v>0.68472222222222212</v>
      </c>
      <c r="M17" s="90">
        <f>LOOKUP(2,1/(('0509 4度C'!$A:$A="新豐4線")*('0509 4度C'!$T:$T&lt;&gt;"")),'0509 4度C'!$T:$T)</f>
        <v>0.60347222222222219</v>
      </c>
    </row>
    <row r="18" spans="2:13" ht="17.25" customHeight="1">
      <c r="B18" s="505" t="s">
        <v>841</v>
      </c>
      <c r="C18" s="94" t="s">
        <v>842</v>
      </c>
      <c r="D18" s="95">
        <f>SUMIFS('0509 4度C'!$Y:$Y,'0509 4度C'!$A:$A,"新豐6線",'0509 4度C'!$B:$B,"平均")</f>
        <v>0</v>
      </c>
      <c r="E18" s="96">
        <f>SUMIFS('0509 4度C'!$Y:$Y,'0509 4度C'!$A:$A,"新豐2線",'0509 4度C'!$B:$B,"平均")</f>
        <v>0</v>
      </c>
      <c r="F18" s="96">
        <f>SUMIFS('0509 4度C'!$Y:$Y,'0509 4度C'!$A:$A,"新豐5線",'0509 4度C'!$B:$B,"平均")</f>
        <v>0</v>
      </c>
      <c r="G18" s="96">
        <f>SUMIFS('0509 4度C'!$Y:$Y,'0509 4度C'!$A:$A,"新豐7線",'0509 4度C'!$B:$B,"平均")</f>
        <v>0</v>
      </c>
      <c r="H18" s="96">
        <f>SUMIFS('0509 4度C'!$Y:$Y,'0509 4度C'!$A:$A,"新豐3線",'0509 4度C'!$B:$B,"平均")</f>
        <v>0</v>
      </c>
      <c r="I18" s="96">
        <f>SUMIFS('0509 4度C'!$Y:$Y,'0509 4度C'!$A:$A,"新豐1線",'0509 4度C'!$B:$B,"平均")</f>
        <v>0</v>
      </c>
      <c r="J18" s="97">
        <f>SUMIFS('0509 4度C'!$Y:$Y,'0509 4度C'!$A:$A,"新豐10線",'0509 4度C'!$B:$B,"平均")</f>
        <v>0</v>
      </c>
      <c r="K18" s="98">
        <f>SUMIFS('0509 4度C'!$Y:$Y,'0509 4度C'!$A:$A,"新豐8線",'0509 4度C'!$B:$B,"平均")</f>
        <v>0</v>
      </c>
      <c r="L18" s="96">
        <f>SUMIFS('0509 4度C'!$Y:$Y,'0509 4度C'!$A:$A,"新豐9線",'0509 4度C'!$B:$B,"平均")</f>
        <v>0</v>
      </c>
      <c r="M18" s="97">
        <f>SUMIFS('0509 4度C'!$Y:$Y,'0509 4度C'!$A:$A,"新豐4線",'0509 4度C'!$B:$B,"平均")</f>
        <v>0</v>
      </c>
    </row>
    <row r="19" spans="2:13" ht="17.25" customHeight="1">
      <c r="B19" s="506"/>
      <c r="C19" s="94" t="s">
        <v>843</v>
      </c>
      <c r="D19" s="95">
        <f>SUMIFS('0509 4度C'!$Z:$Z,'0509 4度C'!$A:$A,"新豐6線",'0509 4度C'!$B:$B,"平均")</f>
        <v>0</v>
      </c>
      <c r="E19" s="96">
        <f>SUMIFS('0509 4度C'!$Z:$Z,'0509 4度C'!$A:$A,"新豐2線",'0509 4度C'!$B:$B,"平均")</f>
        <v>0</v>
      </c>
      <c r="F19" s="96">
        <f>SUMIFS('0509 4度C'!$Z:$Z,'0509 4度C'!$A:$A,"新豐5線",'0509 4度C'!$B:$B,"平均")</f>
        <v>0</v>
      </c>
      <c r="G19" s="96">
        <f>SUMIFS('0509 4度C'!$Z:$Z,'0509 4度C'!$A:$A,"新豐7線",'0509 4度C'!$B:$B,"平均")</f>
        <v>0</v>
      </c>
      <c r="H19" s="96">
        <f>SUMIFS('0509 4度C'!$Z:$Z,'0509 4度C'!$A:$A,"新豐3線",'0509 4度C'!$B:$B,"平均")</f>
        <v>0</v>
      </c>
      <c r="I19" s="96">
        <f>SUMIFS('0509 4度C'!$Z:$Z,'0509 4度C'!$A:$A,"新豐1線",'0509 4度C'!$B:$B,"平均")</f>
        <v>0</v>
      </c>
      <c r="J19" s="97">
        <f>SUMIFS('0509 4度C'!$Z:$Z,'0509 4度C'!$A:$A,"新豐10線",'0509 4度C'!$B:$B,"平均")</f>
        <v>0</v>
      </c>
      <c r="K19" s="98">
        <f>SUMIFS('0509 4度C'!$Z:$Z,'0509 4度C'!$A:$A,"新豐8線",'0509 4度C'!$B:$B,"平均")</f>
        <v>0</v>
      </c>
      <c r="L19" s="96">
        <f>SUMIFS('0509 4度C'!$Z:$Z,'0509 4度C'!$A:$A,"新豐9線",'0509 4度C'!$B:$B,"平均")</f>
        <v>0</v>
      </c>
      <c r="M19" s="97">
        <f>SUMIFS('0509 4度C'!$Z:$Z,'0509 4度C'!$A:$A,"新豐4線",'0509 4度C'!$B:$B,"平均")</f>
        <v>0</v>
      </c>
    </row>
    <row r="20" spans="2:13" ht="17.25" customHeight="1">
      <c r="B20" s="505" t="s">
        <v>844</v>
      </c>
      <c r="C20" s="94" t="s">
        <v>842</v>
      </c>
      <c r="D20" s="95">
        <f>SUMIFS('0509 4度C'!$AC:$AC,'0509 4度C'!$A:$A,"新豐6線",'0509 4度C'!$B:$B,"平均")</f>
        <v>4</v>
      </c>
      <c r="E20" s="96">
        <f>SUMIFS('0509 4度C'!$AC:$AC,'0509 4度C'!$A:$A,"新豐2線",'0509 4度C'!$B:$B,"平均")</f>
        <v>3</v>
      </c>
      <c r="F20" s="96">
        <f>SUMIFS('0509 4度C'!$AC:$AC,'0509 4度C'!$A:$A,"新豐5線",'0509 4度C'!$B:$B,"平均")</f>
        <v>4</v>
      </c>
      <c r="G20" s="96">
        <f>SUMIFS('0509 4度C'!$AC:$AC,'0509 4度C'!$A:$A,"新豐7線",'0509 4度C'!$B:$B,"平均")</f>
        <v>6</v>
      </c>
      <c r="H20" s="96">
        <f>SUMIFS('0509 4度C'!$AC:$AC,'0509 4度C'!$A:$A,"新豐3線",'0509 4度C'!$B:$B,"平均")</f>
        <v>4</v>
      </c>
      <c r="I20" s="96">
        <f>SUMIFS('0509 4度C'!$AC:$AC,'0509 4度C'!$A:$A,"新豐1線",'0509 4度C'!$B:$B,"平均")</f>
        <v>7</v>
      </c>
      <c r="J20" s="97">
        <f>SUMIFS('0509 4度C'!$AC:$AC,'0509 4度C'!$A:$A,"新豐10線",'0509 4度C'!$B:$B,"平均")</f>
        <v>6</v>
      </c>
      <c r="K20" s="98">
        <f>SUMIFS('0509 4度C'!$AC:$AC,'0509 4度C'!$A:$A,"新豐8線",'0509 4度C'!$B:$B,"平均")</f>
        <v>7</v>
      </c>
      <c r="L20" s="96">
        <f>SUMIFS('0509 4度C'!$AC:$AC,'0509 4度C'!$A:$A,"新豐9線",'0509 4度C'!$B:$B,"平均")</f>
        <v>7</v>
      </c>
      <c r="M20" s="97">
        <f>SUMIFS('0509 4度C'!$AC:$AC,'0509 4度C'!$A:$A,"新豐4線",'0509 4度C'!$B:$B,"平均")</f>
        <v>6</v>
      </c>
    </row>
    <row r="21" spans="2:13" ht="17.25" customHeight="1">
      <c r="B21" s="506"/>
      <c r="C21" s="94" t="s">
        <v>845</v>
      </c>
      <c r="D21" s="95">
        <f>SUMIFS('0509 4度C'!$AD:$AD,'0509 4度C'!$A:$A,"新豐6線",'0509 4度C'!$B:$B,"平均")</f>
        <v>0</v>
      </c>
      <c r="E21" s="96">
        <f>SUMIFS('0509 4度C'!$AD:$AD,'0509 4度C'!$A:$A,"新豐2線",'0509 4度C'!$B:$B,"平均")</f>
        <v>0</v>
      </c>
      <c r="F21" s="96">
        <f>SUMIFS('0509 4度C'!$AD:$AD,'0509 4度C'!$A:$A,"新豐5線",'0509 4度C'!$B:$B,"平均")</f>
        <v>0</v>
      </c>
      <c r="G21" s="96">
        <f>SUMIFS('0509 4度C'!$AD:$AD,'0509 4度C'!$A:$A,"新豐7線",'0509 4度C'!$B:$B,"平均")</f>
        <v>0</v>
      </c>
      <c r="H21" s="96">
        <f>SUMIFS('0509 4度C'!$AD:$AD,'0509 4度C'!$A:$A,"新豐3線",'0509 4度C'!$B:$B,"平均")</f>
        <v>0</v>
      </c>
      <c r="I21" s="96">
        <f>SUMIFS('0509 4度C'!$AD:$AD,'0509 4度C'!$A:$A,"新豐1線",'0509 4度C'!$B:$B,"平均")</f>
        <v>0</v>
      </c>
      <c r="J21" s="97">
        <f>SUMIFS('0509 4度C'!$AD:$AD,'0509 4度C'!$A:$A,"新豐10線",'0509 4度C'!$B:$B,"平均")</f>
        <v>0</v>
      </c>
      <c r="K21" s="98">
        <f>SUMIFS('0509 4度C'!$AD:$AD,'0509 4度C'!$A:$A,"新豐8線",'0509 4度C'!$B:$B,"平均")</f>
        <v>0</v>
      </c>
      <c r="L21" s="96">
        <f>SUMIFS('0509 4度C'!$AD:$AD,'0509 4度C'!$A:$A,"新豐9線",'0509 4度C'!$B:$B,"平均")</f>
        <v>0</v>
      </c>
      <c r="M21" s="97">
        <f>SUMIFS('0509 4度C'!$AD:$AD,'0509 4度C'!$A:$A,"新豐4線",'0509 4度C'!$B:$B,"平均")</f>
        <v>0</v>
      </c>
    </row>
    <row r="22" spans="2:13" ht="17.25" customHeight="1">
      <c r="B22" s="507" t="s">
        <v>846</v>
      </c>
      <c r="C22" s="508"/>
      <c r="D22" s="99">
        <f>SUMIFS('0509 4度C'!$I:$I,'0509 4度C'!$A:$A,"新豐6線",'0509 4度C'!$B:$B,"平均")</f>
        <v>16.75</v>
      </c>
      <c r="E22" s="100">
        <f>SUMIFS('0509 4度C'!$I:$I,'0509 4度C'!$A:$A,"新豐2線",'0509 4度C'!$B:$B,"平均")</f>
        <v>17.666666666666668</v>
      </c>
      <c r="F22" s="100">
        <f>SUMIFS('0509 4度C'!$I:$I,'0509 4度C'!$A:$A,"新豐5線",'0509 4度C'!$B:$B,"平均")</f>
        <v>17.5</v>
      </c>
      <c r="G22" s="100">
        <f>SUMIFS('0509 4度C'!$I:$I,'0509 4度C'!$A:$A,"新豐7線",'0509 4度C'!$B:$B,"平均")</f>
        <v>15.833333333333334</v>
      </c>
      <c r="H22" s="100">
        <f>SUMIFS('0509 4度C'!$I:$I,'0509 4度C'!$A:$A,"新豐3線",'0509 4度C'!$B:$B,"平均")</f>
        <v>10.75</v>
      </c>
      <c r="I22" s="100">
        <f>SUMIFS('0509 4度C'!$I:$I,'0509 4度C'!$A:$A,"新豐1線",'0509 4度C'!$B:$B,"平均")</f>
        <v>19.142857142857142</v>
      </c>
      <c r="J22" s="101">
        <f>SUMIFS('0509 4度C'!$I:$I,'0509 4度C'!$A:$A,"新豐10線",'0509 4度C'!$B:$B,"平均")</f>
        <v>9.5</v>
      </c>
      <c r="K22" s="99">
        <f>SUMIFS('0509 4度C'!$I:$I,'0509 4度C'!$A:$A,"新豐8線",'0509 4度C'!$B:$B,"平均")</f>
        <v>17.285714285714285</v>
      </c>
      <c r="L22" s="100">
        <f>SUMIFS('0509 4度C'!$I:$I,'0509 4度C'!$A:$A,"新豐9線",'0509 4度C'!$B:$B,"平均")</f>
        <v>17.285714285714285</v>
      </c>
      <c r="M22" s="101">
        <f>SUMIFS('0509 4度C'!$I:$I,'0509 4度C'!$A:$A,"新豐4線",'0509 4度C'!$B:$B,"平均")</f>
        <v>15.833333333333334</v>
      </c>
    </row>
    <row r="23" spans="2:13" ht="17.25" customHeight="1">
      <c r="B23" s="507" t="s">
        <v>847</v>
      </c>
      <c r="C23" s="508"/>
      <c r="D23" s="102" t="s">
        <v>177</v>
      </c>
      <c r="E23" s="103" t="s">
        <v>178</v>
      </c>
      <c r="F23" s="103" t="s">
        <v>848</v>
      </c>
      <c r="G23" s="103" t="s">
        <v>848</v>
      </c>
      <c r="H23" s="103" t="s">
        <v>180</v>
      </c>
      <c r="I23" s="103" t="s">
        <v>177</v>
      </c>
      <c r="J23" s="104" t="s">
        <v>180</v>
      </c>
      <c r="K23" s="102" t="s">
        <v>849</v>
      </c>
      <c r="L23" s="103" t="s">
        <v>850</v>
      </c>
      <c r="M23" s="104" t="s">
        <v>851</v>
      </c>
    </row>
    <row r="24" spans="2:13" ht="17.25" customHeight="1">
      <c r="B24" s="507" t="s">
        <v>852</v>
      </c>
      <c r="C24" s="508"/>
      <c r="D24" s="102"/>
      <c r="E24" s="103"/>
      <c r="F24" s="103" t="s">
        <v>853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854</v>
      </c>
      <c r="C25" s="510"/>
      <c r="D25" s="105"/>
      <c r="E25" s="106" t="s">
        <v>855</v>
      </c>
      <c r="F25" s="503" t="s">
        <v>856</v>
      </c>
      <c r="G25" s="504"/>
      <c r="H25" s="106" t="s">
        <v>857</v>
      </c>
      <c r="I25" s="106" t="s">
        <v>858</v>
      </c>
      <c r="J25" s="107" t="s">
        <v>857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52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9"/>
  <sheetViews>
    <sheetView zoomScale="80" zoomScaleNormal="80" workbookViewId="0">
      <pane ySplit="4" topLeftCell="A5" activePane="bottomLeft" state="frozen"/>
      <selection pane="bottomLeft" activeCell="F11" sqref="F11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859</v>
      </c>
      <c r="B1" s="1"/>
      <c r="C1" s="2" t="s">
        <v>860</v>
      </c>
      <c r="D1" s="3">
        <f>SUM(F5:F68)</f>
        <v>155604</v>
      </c>
      <c r="E1" s="180" t="s">
        <v>861</v>
      </c>
      <c r="F1" s="1">
        <f>SUM(G5:G68)</f>
        <v>5226831.4000000004</v>
      </c>
      <c r="G1" s="1" t="s">
        <v>862</v>
      </c>
      <c r="H1" s="5">
        <f>L9+L13+L46+L54+L18+L61+L33+L41+L25+L68</f>
        <v>157.54761904761907</v>
      </c>
      <c r="I1" s="617" t="s">
        <v>863</v>
      </c>
      <c r="J1" s="617"/>
      <c r="K1" s="617"/>
      <c r="L1" s="617" t="s">
        <v>864</v>
      </c>
      <c r="M1" s="617"/>
      <c r="N1" s="617"/>
      <c r="O1" s="617" t="s">
        <v>865</v>
      </c>
      <c r="P1" s="617"/>
      <c r="Q1" s="617"/>
      <c r="R1" s="617"/>
      <c r="S1" s="617" t="s">
        <v>866</v>
      </c>
      <c r="T1" s="617"/>
      <c r="U1" s="617"/>
      <c r="V1" s="617"/>
      <c r="W1" s="617"/>
      <c r="X1" s="617"/>
      <c r="Y1" s="6" t="s">
        <v>867</v>
      </c>
      <c r="Z1" s="7" t="s">
        <v>868</v>
      </c>
      <c r="AA1" s="618" t="s">
        <v>869</v>
      </c>
      <c r="AB1" s="618"/>
      <c r="AC1" s="121" t="s">
        <v>867</v>
      </c>
      <c r="AD1" s="7" t="s">
        <v>870</v>
      </c>
      <c r="AE1" s="617" t="s">
        <v>871</v>
      </c>
      <c r="AF1" s="619"/>
      <c r="AG1" s="619"/>
    </row>
    <row r="2" spans="1:33" ht="26.25" customHeight="1">
      <c r="A2" s="37">
        <v>46151</v>
      </c>
      <c r="B2" s="38" t="s">
        <v>249</v>
      </c>
      <c r="C2" s="2" t="s">
        <v>834</v>
      </c>
      <c r="D2" s="10">
        <f>AVERAGE(N9,N13,N46,N54,N18,N61,N25,N33,N41,N68)</f>
        <v>146.41400713659553</v>
      </c>
      <c r="E2" s="11" t="s">
        <v>14</v>
      </c>
      <c r="F2" s="12">
        <f>F1/D1</f>
        <v>33.590597928073834</v>
      </c>
      <c r="G2" s="1" t="s">
        <v>872</v>
      </c>
      <c r="H2" s="186">
        <f>COUNT(H5:H68)</f>
        <v>7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SUM(Y9+Y13+Y18+Y25+Y33+Y41+Y46+Y54+Y61+Y68)</f>
        <v>0</v>
      </c>
      <c r="Z2" s="14">
        <f>SUM(Z9+Z13+Z18+Z25+Z33+Z41+Z46+Z54+Z61+Z68)</f>
        <v>0</v>
      </c>
      <c r="AA2" s="618"/>
      <c r="AB2" s="618"/>
      <c r="AC2" s="122">
        <v>54</v>
      </c>
      <c r="AD2" s="14">
        <f>SUM(AD9+AD13+AD18+AD25+AD33+AD41+AD46+AD54+AD61+AD68)</f>
        <v>0</v>
      </c>
      <c r="AE2" s="619"/>
      <c r="AF2" s="619"/>
      <c r="AG2" s="619"/>
    </row>
    <row r="3" spans="1:33" ht="40.5" customHeight="1">
      <c r="A3" s="575" t="s">
        <v>873</v>
      </c>
      <c r="B3" s="575" t="s">
        <v>874</v>
      </c>
      <c r="C3" s="575" t="s">
        <v>875</v>
      </c>
      <c r="D3" s="575"/>
      <c r="E3" s="615" t="s">
        <v>876</v>
      </c>
      <c r="F3" s="575" t="s">
        <v>877</v>
      </c>
      <c r="G3" s="615" t="s">
        <v>878</v>
      </c>
      <c r="H3" s="608" t="s">
        <v>879</v>
      </c>
      <c r="I3" s="606" t="s">
        <v>880</v>
      </c>
      <c r="J3" s="603" t="s">
        <v>881</v>
      </c>
      <c r="K3" s="613" t="s">
        <v>834</v>
      </c>
      <c r="L3" s="606" t="s">
        <v>880</v>
      </c>
      <c r="M3" s="603" t="s">
        <v>881</v>
      </c>
      <c r="N3" s="613" t="s">
        <v>834</v>
      </c>
      <c r="O3" s="606" t="s">
        <v>880</v>
      </c>
      <c r="P3" s="613" t="s">
        <v>834</v>
      </c>
      <c r="Q3" s="604" t="s">
        <v>882</v>
      </c>
      <c r="R3" s="582" t="s">
        <v>883</v>
      </c>
      <c r="S3" s="614" t="s">
        <v>28</v>
      </c>
      <c r="T3" s="614"/>
      <c r="U3" s="608" t="s">
        <v>29</v>
      </c>
      <c r="V3" s="608" t="s">
        <v>884</v>
      </c>
      <c r="W3" s="575" t="s">
        <v>885</v>
      </c>
      <c r="X3" s="575"/>
      <c r="Y3" s="609" t="s">
        <v>886</v>
      </c>
      <c r="Z3" s="572"/>
      <c r="AA3" s="610" t="s">
        <v>887</v>
      </c>
      <c r="AB3" s="611"/>
      <c r="AC3" s="609" t="s">
        <v>888</v>
      </c>
      <c r="AD3" s="572"/>
      <c r="AE3" s="603" t="s">
        <v>889</v>
      </c>
      <c r="AF3" s="604" t="s">
        <v>882</v>
      </c>
      <c r="AG3" s="582" t="s">
        <v>890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187" t="s">
        <v>36</v>
      </c>
      <c r="T4" s="187" t="s">
        <v>37</v>
      </c>
      <c r="U4" s="608"/>
      <c r="V4" s="608"/>
      <c r="W4" s="180" t="s">
        <v>891</v>
      </c>
      <c r="X4" s="180" t="s">
        <v>892</v>
      </c>
      <c r="Y4" s="178" t="s">
        <v>893</v>
      </c>
      <c r="Z4" s="178" t="s">
        <v>894</v>
      </c>
      <c r="AA4" s="612"/>
      <c r="AB4" s="611"/>
      <c r="AC4" s="178" t="s">
        <v>895</v>
      </c>
      <c r="AD4" s="178" t="s">
        <v>896</v>
      </c>
      <c r="AE4" s="603"/>
      <c r="AF4" s="604"/>
      <c r="AG4" s="582"/>
    </row>
    <row r="5" spans="1:33">
      <c r="A5" s="605" t="s">
        <v>897</v>
      </c>
      <c r="B5" s="39" t="s">
        <v>74</v>
      </c>
      <c r="C5" s="607" t="s">
        <v>75</v>
      </c>
      <c r="D5" s="607"/>
      <c r="E5" s="39">
        <v>50.67</v>
      </c>
      <c r="F5" s="187">
        <v>1351</v>
      </c>
      <c r="G5" s="180">
        <f t="shared" ref="G5:G8" si="0">E5*F5</f>
        <v>68455.17</v>
      </c>
      <c r="H5" s="48" t="s">
        <v>126</v>
      </c>
      <c r="I5" s="184">
        <v>17</v>
      </c>
      <c r="J5" s="43">
        <v>2000</v>
      </c>
      <c r="K5" s="18">
        <f t="shared" ref="K5:K68" si="1">J5/I5</f>
        <v>117.64705882352941</v>
      </c>
      <c r="L5" s="184">
        <v>17</v>
      </c>
      <c r="M5" s="19">
        <f t="shared" ref="M5:M8" si="2">F5/V5*60</f>
        <v>1929.9999999999995</v>
      </c>
      <c r="N5" s="18">
        <f t="shared" ref="N5:N68" si="3">M5/L5</f>
        <v>113.52941176470586</v>
      </c>
      <c r="O5" s="20">
        <f t="shared" ref="O5:O68" si="4">L5-I5</f>
        <v>0</v>
      </c>
      <c r="P5" s="21">
        <f t="shared" ref="P5:P68" si="5">N5-K5</f>
        <v>-4.1176470588235503</v>
      </c>
      <c r="Q5" s="179">
        <f t="shared" ref="Q5:Q68" si="6">N5/K5</f>
        <v>0.96499999999999986</v>
      </c>
      <c r="R5" s="573">
        <f>Q9</f>
        <v>0.96859793491864798</v>
      </c>
      <c r="S5" s="49">
        <v>0.70833333333333337</v>
      </c>
      <c r="T5" s="49">
        <v>0.73750000000000004</v>
      </c>
      <c r="U5" s="180"/>
      <c r="V5" s="185">
        <f t="shared" ref="V5:V8" si="7">(T5-S5)*24*60</f>
        <v>42.000000000000014</v>
      </c>
      <c r="W5" s="25"/>
      <c r="X5" s="26"/>
      <c r="Y5" s="26"/>
      <c r="Z5" s="26"/>
      <c r="AA5" s="575"/>
      <c r="AB5" s="575"/>
      <c r="AC5" s="50">
        <v>4</v>
      </c>
      <c r="AD5" s="27"/>
      <c r="AE5" s="20">
        <f t="shared" ref="AE5:AE53" si="8">M5-J5</f>
        <v>-70.000000000000455</v>
      </c>
      <c r="AF5" s="179">
        <f t="shared" ref="AF5:AF68" si="9">M5/J5</f>
        <v>0.96499999999999975</v>
      </c>
      <c r="AG5" s="573">
        <f>AF9</f>
        <v>0.9685979349186481</v>
      </c>
    </row>
    <row r="6" spans="1:33">
      <c r="A6" s="606" t="s">
        <v>898</v>
      </c>
      <c r="B6" s="39" t="s">
        <v>74</v>
      </c>
      <c r="C6" s="607" t="s">
        <v>76</v>
      </c>
      <c r="D6" s="607"/>
      <c r="E6" s="39">
        <v>54.09</v>
      </c>
      <c r="F6" s="187">
        <v>1108</v>
      </c>
      <c r="G6" s="180">
        <f t="shared" si="0"/>
        <v>59931.72</v>
      </c>
      <c r="H6" s="48" t="s">
        <v>126</v>
      </c>
      <c r="I6" s="184">
        <v>19</v>
      </c>
      <c r="J6" s="43">
        <v>2000</v>
      </c>
      <c r="K6" s="18">
        <f t="shared" si="1"/>
        <v>105.26315789473684</v>
      </c>
      <c r="L6" s="184">
        <v>19</v>
      </c>
      <c r="M6" s="19">
        <f t="shared" si="2"/>
        <v>1955.2941176470565</v>
      </c>
      <c r="N6" s="18">
        <f t="shared" si="3"/>
        <v>102.91021671826613</v>
      </c>
      <c r="O6" s="20">
        <f t="shared" si="4"/>
        <v>0</v>
      </c>
      <c r="P6" s="21">
        <f t="shared" si="5"/>
        <v>-2.3529411764707078</v>
      </c>
      <c r="Q6" s="179">
        <f t="shared" si="6"/>
        <v>0.97764705882352831</v>
      </c>
      <c r="R6" s="573"/>
      <c r="S6" s="49">
        <v>0.7416666666666667</v>
      </c>
      <c r="T6" s="49">
        <v>0.76527777777777783</v>
      </c>
      <c r="U6" s="180">
        <f t="shared" ref="U6:U8" si="10">IF(S6=TIME(17,0,0),"",(S6-T5)*24*60)</f>
        <v>5.9999999999999787</v>
      </c>
      <c r="V6" s="185">
        <f t="shared" si="7"/>
        <v>34.000000000000043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-44.70588235294349</v>
      </c>
      <c r="AF6" s="179">
        <f t="shared" si="9"/>
        <v>0.9776470588235282</v>
      </c>
      <c r="AG6" s="573"/>
    </row>
    <row r="7" spans="1:33">
      <c r="A7" s="606" t="s">
        <v>898</v>
      </c>
      <c r="B7" s="39" t="s">
        <v>74</v>
      </c>
      <c r="C7" s="598" t="s">
        <v>77</v>
      </c>
      <c r="D7" s="599"/>
      <c r="E7" s="39">
        <v>50.67</v>
      </c>
      <c r="F7" s="187">
        <v>1513</v>
      </c>
      <c r="G7" s="180">
        <f t="shared" si="0"/>
        <v>76663.710000000006</v>
      </c>
      <c r="H7" s="48" t="s">
        <v>126</v>
      </c>
      <c r="I7" s="184">
        <v>15</v>
      </c>
      <c r="J7" s="43">
        <v>2000</v>
      </c>
      <c r="K7" s="18">
        <f t="shared" si="1"/>
        <v>133.33333333333334</v>
      </c>
      <c r="L7" s="184">
        <v>15</v>
      </c>
      <c r="M7" s="19">
        <f t="shared" si="2"/>
        <v>1931.489361702128</v>
      </c>
      <c r="N7" s="18">
        <f t="shared" si="3"/>
        <v>128.76595744680853</v>
      </c>
      <c r="O7" s="20">
        <f t="shared" si="4"/>
        <v>0</v>
      </c>
      <c r="P7" s="21">
        <f t="shared" si="5"/>
        <v>-4.5673758865248146</v>
      </c>
      <c r="Q7" s="179">
        <f t="shared" si="6"/>
        <v>0.96574468085106391</v>
      </c>
      <c r="R7" s="573"/>
      <c r="S7" s="49">
        <v>0.77013888888888893</v>
      </c>
      <c r="T7" s="49">
        <v>0.80277777777777781</v>
      </c>
      <c r="U7" s="180">
        <f t="shared" si="10"/>
        <v>6.9999999999999751</v>
      </c>
      <c r="V7" s="185">
        <f t="shared" si="7"/>
        <v>46.999999999999993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-68.510638297871992</v>
      </c>
      <c r="AF7" s="179">
        <f t="shared" si="9"/>
        <v>0.96574468085106402</v>
      </c>
      <c r="AG7" s="573"/>
    </row>
    <row r="8" spans="1:33">
      <c r="A8" s="606" t="s">
        <v>899</v>
      </c>
      <c r="B8" s="39" t="s">
        <v>74</v>
      </c>
      <c r="C8" s="598" t="s">
        <v>78</v>
      </c>
      <c r="D8" s="599"/>
      <c r="E8" s="39">
        <v>52.86</v>
      </c>
      <c r="F8" s="187">
        <v>1610</v>
      </c>
      <c r="G8" s="180">
        <f t="shared" si="0"/>
        <v>85104.6</v>
      </c>
      <c r="H8" s="48" t="s">
        <v>126</v>
      </c>
      <c r="I8" s="184">
        <v>16</v>
      </c>
      <c r="J8" s="43">
        <v>2000</v>
      </c>
      <c r="K8" s="18">
        <f t="shared" si="1"/>
        <v>125</v>
      </c>
      <c r="L8" s="184">
        <v>16</v>
      </c>
      <c r="M8" s="19">
        <f t="shared" si="2"/>
        <v>1932.0000000000007</v>
      </c>
      <c r="N8" s="18">
        <f t="shared" si="3"/>
        <v>120.75000000000004</v>
      </c>
      <c r="O8" s="20">
        <f t="shared" si="4"/>
        <v>0</v>
      </c>
      <c r="P8" s="21">
        <f t="shared" si="5"/>
        <v>-4.2499999999999574</v>
      </c>
      <c r="Q8" s="179">
        <f t="shared" si="6"/>
        <v>0.9660000000000003</v>
      </c>
      <c r="R8" s="573"/>
      <c r="S8" s="49">
        <v>0.80763888888888891</v>
      </c>
      <c r="T8" s="49">
        <v>0.84236111111111112</v>
      </c>
      <c r="U8" s="180">
        <f t="shared" si="10"/>
        <v>6.9999999999999751</v>
      </c>
      <c r="V8" s="185">
        <f t="shared" si="7"/>
        <v>49.999999999999986</v>
      </c>
      <c r="W8" s="30"/>
      <c r="X8" s="30"/>
      <c r="Y8" s="31"/>
      <c r="Z8" s="31"/>
      <c r="AA8" s="568"/>
      <c r="AB8" s="569"/>
      <c r="AC8" s="50"/>
      <c r="AD8" s="29"/>
      <c r="AE8" s="20">
        <f t="shared" si="8"/>
        <v>-67.999999999999318</v>
      </c>
      <c r="AF8" s="179">
        <f t="shared" si="9"/>
        <v>0.9660000000000003</v>
      </c>
      <c r="AG8" s="573"/>
    </row>
    <row r="9" spans="1:33">
      <c r="A9" s="606" t="s">
        <v>898</v>
      </c>
      <c r="B9" s="39" t="s">
        <v>900</v>
      </c>
      <c r="C9" s="576"/>
      <c r="D9" s="576"/>
      <c r="E9" s="181"/>
      <c r="F9" s="42"/>
      <c r="G9" s="18"/>
      <c r="H9" s="187"/>
      <c r="I9" s="32">
        <v>16.75</v>
      </c>
      <c r="J9" s="43">
        <v>2000</v>
      </c>
      <c r="K9" s="18">
        <f t="shared" si="1"/>
        <v>119.40298507462687</v>
      </c>
      <c r="L9" s="32">
        <v>16.75</v>
      </c>
      <c r="M9" s="19">
        <f>AVERAGE(M5:M8)</f>
        <v>1937.1958698372962</v>
      </c>
      <c r="N9" s="18">
        <f t="shared" si="3"/>
        <v>115.65348476640574</v>
      </c>
      <c r="O9" s="20">
        <f t="shared" si="4"/>
        <v>0</v>
      </c>
      <c r="P9" s="21">
        <f t="shared" si="5"/>
        <v>-3.7495003082211298</v>
      </c>
      <c r="Q9" s="179">
        <f t="shared" si="6"/>
        <v>0.96859793491864798</v>
      </c>
      <c r="R9" s="573"/>
      <c r="S9" s="49"/>
      <c r="T9" s="49"/>
      <c r="U9" s="180"/>
      <c r="V9" s="185"/>
      <c r="W9" s="18"/>
      <c r="X9" s="18"/>
      <c r="Y9" s="33">
        <f>SUM(Y5:Y8)</f>
        <v>0</v>
      </c>
      <c r="Z9" s="33">
        <f>SUM(Z5:Z8)</f>
        <v>0</v>
      </c>
      <c r="AA9" s="572"/>
      <c r="AB9" s="572"/>
      <c r="AC9" s="33">
        <v>4</v>
      </c>
      <c r="AD9" s="33">
        <f>SUM(AD5:AD8)</f>
        <v>0</v>
      </c>
      <c r="AE9" s="20">
        <f t="shared" si="8"/>
        <v>-62.804130162703814</v>
      </c>
      <c r="AF9" s="179">
        <f t="shared" si="9"/>
        <v>0.9685979349186481</v>
      </c>
      <c r="AG9" s="573"/>
    </row>
    <row r="10" spans="1:33" ht="15.75" customHeight="1">
      <c r="A10" s="602" t="s">
        <v>901</v>
      </c>
      <c r="B10" s="39" t="s">
        <v>79</v>
      </c>
      <c r="C10" s="598" t="s">
        <v>80</v>
      </c>
      <c r="D10" s="599"/>
      <c r="E10" s="39">
        <v>39.619999999999997</v>
      </c>
      <c r="F10" s="187">
        <v>4570</v>
      </c>
      <c r="G10" s="180">
        <f t="shared" ref="G10:G12" si="11">E10*F10</f>
        <v>181063.4</v>
      </c>
      <c r="H10" s="48" t="s">
        <v>126</v>
      </c>
      <c r="I10" s="184">
        <v>19</v>
      </c>
      <c r="J10" s="43">
        <v>1500</v>
      </c>
      <c r="K10" s="18">
        <f t="shared" si="1"/>
        <v>78.94736842105263</v>
      </c>
      <c r="L10" s="184">
        <v>19</v>
      </c>
      <c r="M10" s="19">
        <f t="shared" ref="M10:M12" si="12">F10/V10*60</f>
        <v>1428.125</v>
      </c>
      <c r="N10" s="18">
        <f t="shared" si="3"/>
        <v>75.16447368421052</v>
      </c>
      <c r="O10" s="20">
        <f t="shared" si="4"/>
        <v>0</v>
      </c>
      <c r="P10" s="21">
        <f t="shared" si="5"/>
        <v>-3.7828947368421098</v>
      </c>
      <c r="Q10" s="179">
        <f t="shared" si="6"/>
        <v>0.95208333333333328</v>
      </c>
      <c r="R10" s="573">
        <f>Q13</f>
        <v>0.95504618268575314</v>
      </c>
      <c r="S10" s="49">
        <v>0.20833333333333334</v>
      </c>
      <c r="T10" s="49">
        <v>0.34166666666666667</v>
      </c>
      <c r="U10" s="180"/>
      <c r="V10" s="185">
        <f t="shared" ref="V10:V12" si="13">(T10-S10)*24*60</f>
        <v>192</v>
      </c>
      <c r="W10" s="25"/>
      <c r="X10" s="25"/>
      <c r="Y10" s="25"/>
      <c r="Z10" s="25"/>
      <c r="AA10" s="575"/>
      <c r="AB10" s="575"/>
      <c r="AC10" s="50">
        <v>3</v>
      </c>
      <c r="AD10" s="27"/>
      <c r="AE10" s="20">
        <f t="shared" si="8"/>
        <v>-71.875</v>
      </c>
      <c r="AF10" s="179">
        <f t="shared" si="9"/>
        <v>0.95208333333333328</v>
      </c>
      <c r="AG10" s="573">
        <f>AF13</f>
        <v>0.95504618268575314</v>
      </c>
    </row>
    <row r="11" spans="1:33" ht="15.75" customHeight="1">
      <c r="A11" s="602" t="s">
        <v>47</v>
      </c>
      <c r="B11" s="39" t="s">
        <v>79</v>
      </c>
      <c r="C11" s="598" t="s">
        <v>81</v>
      </c>
      <c r="D11" s="599"/>
      <c r="E11" s="39">
        <v>39.799999999999997</v>
      </c>
      <c r="F11" s="187">
        <v>3900</v>
      </c>
      <c r="G11" s="180">
        <f t="shared" si="11"/>
        <v>155220</v>
      </c>
      <c r="H11" s="48">
        <v>2</v>
      </c>
      <c r="I11" s="184">
        <v>17</v>
      </c>
      <c r="J11" s="43">
        <v>1500</v>
      </c>
      <c r="K11" s="18">
        <f t="shared" si="1"/>
        <v>88.235294117647058</v>
      </c>
      <c r="L11" s="184">
        <v>17</v>
      </c>
      <c r="M11" s="19">
        <f t="shared" si="12"/>
        <v>1435.5828220858898</v>
      </c>
      <c r="N11" s="18">
        <f t="shared" si="3"/>
        <v>84.446048357993519</v>
      </c>
      <c r="O11" s="20">
        <f t="shared" si="4"/>
        <v>0</v>
      </c>
      <c r="P11" s="21">
        <f t="shared" si="5"/>
        <v>-3.7892457596535394</v>
      </c>
      <c r="Q11" s="179">
        <f t="shared" si="6"/>
        <v>0.95705521472392652</v>
      </c>
      <c r="R11" s="573"/>
      <c r="S11" s="49">
        <v>0.34583333333333333</v>
      </c>
      <c r="T11" s="49">
        <v>0.45902777777777776</v>
      </c>
      <c r="U11" s="180">
        <f t="shared" ref="U11:U12" si="14">IF(S11=TIME(17,0,0),"",(S11-T10)*24*60)</f>
        <v>5.9999999999999787</v>
      </c>
      <c r="V11" s="185">
        <f t="shared" si="13"/>
        <v>162.99999999999997</v>
      </c>
      <c r="W11" s="25">
        <f>T11</f>
        <v>0.45902777777777776</v>
      </c>
      <c r="X11" s="25">
        <f>S12</f>
        <v>0.49791666666666662</v>
      </c>
      <c r="Y11" s="25"/>
      <c r="Z11" s="25"/>
      <c r="AA11" s="575"/>
      <c r="AB11" s="575"/>
      <c r="AC11" s="50"/>
      <c r="AD11" s="27"/>
      <c r="AE11" s="20">
        <f t="shared" si="8"/>
        <v>-64.417177914110198</v>
      </c>
      <c r="AF11" s="179">
        <f t="shared" si="9"/>
        <v>0.95705521472392652</v>
      </c>
      <c r="AG11" s="573"/>
    </row>
    <row r="12" spans="1:33" ht="15.75" customHeight="1">
      <c r="A12" s="602" t="s">
        <v>47</v>
      </c>
      <c r="B12" s="39" t="s">
        <v>79</v>
      </c>
      <c r="C12" s="598" t="s">
        <v>81</v>
      </c>
      <c r="D12" s="599"/>
      <c r="E12" s="39">
        <v>39.799999999999997</v>
      </c>
      <c r="F12" s="187">
        <v>2629</v>
      </c>
      <c r="G12" s="180">
        <f t="shared" si="11"/>
        <v>104634.2</v>
      </c>
      <c r="H12" s="48" t="s">
        <v>126</v>
      </c>
      <c r="I12" s="184">
        <v>17</v>
      </c>
      <c r="J12" s="43">
        <v>1500</v>
      </c>
      <c r="K12" s="18">
        <f t="shared" si="1"/>
        <v>88.235294117647058</v>
      </c>
      <c r="L12" s="184">
        <v>17</v>
      </c>
      <c r="M12" s="19">
        <f t="shared" si="12"/>
        <v>1434</v>
      </c>
      <c r="N12" s="18">
        <f t="shared" si="3"/>
        <v>84.352941176470594</v>
      </c>
      <c r="O12" s="20">
        <f t="shared" si="4"/>
        <v>0</v>
      </c>
      <c r="P12" s="21">
        <f t="shared" si="5"/>
        <v>-3.8823529411764639</v>
      </c>
      <c r="Q12" s="179">
        <f t="shared" si="6"/>
        <v>0.95600000000000007</v>
      </c>
      <c r="R12" s="573"/>
      <c r="S12" s="49">
        <v>0.49791666666666662</v>
      </c>
      <c r="T12" s="49">
        <v>0.57430555555555551</v>
      </c>
      <c r="U12" s="180">
        <f t="shared" si="14"/>
        <v>55.999999999999957</v>
      </c>
      <c r="V12" s="185">
        <f t="shared" si="13"/>
        <v>110.00000000000001</v>
      </c>
      <c r="W12" s="25"/>
      <c r="X12" s="25"/>
      <c r="Y12" s="25"/>
      <c r="Z12" s="25"/>
      <c r="AA12" s="575"/>
      <c r="AB12" s="575"/>
      <c r="AC12" s="50"/>
      <c r="AD12" s="27"/>
      <c r="AE12" s="20">
        <f t="shared" si="8"/>
        <v>-66</v>
      </c>
      <c r="AF12" s="179">
        <f t="shared" si="9"/>
        <v>0.95599999999999996</v>
      </c>
      <c r="AG12" s="573"/>
    </row>
    <row r="13" spans="1:33" ht="16.5" customHeight="1">
      <c r="A13" s="602" t="s">
        <v>47</v>
      </c>
      <c r="B13" s="39" t="s">
        <v>46</v>
      </c>
      <c r="C13" s="576"/>
      <c r="D13" s="576"/>
      <c r="E13" s="181"/>
      <c r="F13" s="43"/>
      <c r="G13" s="19"/>
      <c r="H13" s="187"/>
      <c r="I13" s="32">
        <v>17.666666666666668</v>
      </c>
      <c r="J13" s="43">
        <v>1500</v>
      </c>
      <c r="K13" s="18">
        <f t="shared" si="1"/>
        <v>84.905660377358487</v>
      </c>
      <c r="L13" s="32">
        <v>17.666666666666668</v>
      </c>
      <c r="M13" s="19">
        <f>AVERAGE(M10:M12)</f>
        <v>1432.5692740286297</v>
      </c>
      <c r="N13" s="18">
        <f t="shared" si="3"/>
        <v>81.088826831809229</v>
      </c>
      <c r="O13" s="20">
        <f t="shared" si="4"/>
        <v>0</v>
      </c>
      <c r="P13" s="21">
        <f t="shared" si="5"/>
        <v>-3.8168335455492581</v>
      </c>
      <c r="Q13" s="179">
        <f t="shared" si="6"/>
        <v>0.95504618268575314</v>
      </c>
      <c r="R13" s="573"/>
      <c r="S13" s="49"/>
      <c r="T13" s="49"/>
      <c r="U13" s="18"/>
      <c r="V13" s="185"/>
      <c r="W13" s="18"/>
      <c r="X13" s="18"/>
      <c r="Y13" s="33">
        <f>SUM(Y10:Y12)</f>
        <v>0</v>
      </c>
      <c r="Z13" s="33">
        <f>SUM(Z10:Z12)</f>
        <v>0</v>
      </c>
      <c r="AA13" s="572"/>
      <c r="AB13" s="572"/>
      <c r="AC13" s="33">
        <v>3</v>
      </c>
      <c r="AD13" s="33">
        <f>SUM(AD10:AD12)</f>
        <v>0</v>
      </c>
      <c r="AE13" s="20">
        <f t="shared" si="8"/>
        <v>-67.430725971370293</v>
      </c>
      <c r="AF13" s="179">
        <f t="shared" si="9"/>
        <v>0.95504618268575314</v>
      </c>
      <c r="AG13" s="573"/>
    </row>
    <row r="14" spans="1:33" ht="16.5" customHeight="1">
      <c r="A14" s="600" t="s">
        <v>902</v>
      </c>
      <c r="B14" s="187" t="s">
        <v>82</v>
      </c>
      <c r="C14" s="594" t="s">
        <v>83</v>
      </c>
      <c r="D14" s="594"/>
      <c r="E14" s="39">
        <v>41</v>
      </c>
      <c r="F14" s="187">
        <v>1624</v>
      </c>
      <c r="G14" s="180">
        <f t="shared" ref="G14:G17" si="15">E14*F14</f>
        <v>66584</v>
      </c>
      <c r="H14" s="48" t="s">
        <v>126</v>
      </c>
      <c r="I14" s="184">
        <v>26</v>
      </c>
      <c r="J14" s="43">
        <v>1500</v>
      </c>
      <c r="K14" s="18">
        <f t="shared" si="1"/>
        <v>57.692307692307693</v>
      </c>
      <c r="L14" s="184">
        <v>26</v>
      </c>
      <c r="M14" s="19">
        <f t="shared" ref="M14:M17" si="16">F14/V14*60</f>
        <v>1432.9411764705892</v>
      </c>
      <c r="N14" s="18">
        <f t="shared" si="3"/>
        <v>55.11312217194574</v>
      </c>
      <c r="O14" s="20">
        <f t="shared" si="4"/>
        <v>0</v>
      </c>
      <c r="P14" s="21">
        <f t="shared" si="5"/>
        <v>-2.5791855203619534</v>
      </c>
      <c r="Q14" s="179">
        <f t="shared" si="6"/>
        <v>0.95529411764705952</v>
      </c>
      <c r="R14" s="573">
        <f>Q18</f>
        <v>0.96340181552774751</v>
      </c>
      <c r="S14" s="49">
        <v>0.20833333333333334</v>
      </c>
      <c r="T14" s="49">
        <v>0.25555555555555554</v>
      </c>
      <c r="U14" s="180"/>
      <c r="V14" s="185">
        <f t="shared" ref="V14:V17" si="17">(T14-S14)*24*60</f>
        <v>67.999999999999957</v>
      </c>
      <c r="W14" s="30"/>
      <c r="X14" s="30"/>
      <c r="Y14" s="30"/>
      <c r="Z14" s="30"/>
      <c r="AA14" s="575"/>
      <c r="AB14" s="575"/>
      <c r="AC14" s="50">
        <v>4</v>
      </c>
      <c r="AD14" s="27"/>
      <c r="AE14" s="20">
        <f t="shared" si="8"/>
        <v>-67.058823529410802</v>
      </c>
      <c r="AF14" s="179">
        <f t="shared" si="9"/>
        <v>0.95529411764705952</v>
      </c>
      <c r="AG14" s="573">
        <f>AF18</f>
        <v>0.96340181552774751</v>
      </c>
    </row>
    <row r="15" spans="1:33" ht="16.5" customHeight="1">
      <c r="A15" s="601" t="s">
        <v>903</v>
      </c>
      <c r="B15" s="187" t="s">
        <v>74</v>
      </c>
      <c r="C15" s="594" t="s">
        <v>85</v>
      </c>
      <c r="D15" s="594"/>
      <c r="E15" s="39">
        <v>53.68</v>
      </c>
      <c r="F15" s="187">
        <v>1088</v>
      </c>
      <c r="G15" s="180">
        <f t="shared" si="15"/>
        <v>58403.839999999997</v>
      </c>
      <c r="H15" s="48" t="s">
        <v>126</v>
      </c>
      <c r="I15" s="184">
        <v>16</v>
      </c>
      <c r="J15" s="43">
        <v>1500</v>
      </c>
      <c r="K15" s="18">
        <f t="shared" si="1"/>
        <v>93.75</v>
      </c>
      <c r="L15" s="184">
        <v>16</v>
      </c>
      <c r="M15" s="19">
        <f t="shared" si="16"/>
        <v>1450.6666666666665</v>
      </c>
      <c r="N15" s="18">
        <f t="shared" si="3"/>
        <v>90.666666666666657</v>
      </c>
      <c r="O15" s="20">
        <f t="shared" si="4"/>
        <v>0</v>
      </c>
      <c r="P15" s="21">
        <f t="shared" si="5"/>
        <v>-3.0833333333333428</v>
      </c>
      <c r="Q15" s="179">
        <f t="shared" si="6"/>
        <v>0.96711111111111103</v>
      </c>
      <c r="R15" s="573"/>
      <c r="S15" s="49">
        <v>0.70833333333333337</v>
      </c>
      <c r="T15" s="49">
        <v>0.73958333333333337</v>
      </c>
      <c r="U15" s="180" t="str">
        <f t="shared" ref="U15:U17" si="18">IF(S15=TIME(17,0,0),"",(S15-T14)*24*60)</f>
        <v/>
      </c>
      <c r="V15" s="185">
        <f t="shared" si="17"/>
        <v>45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-49.333333333333485</v>
      </c>
      <c r="AF15" s="179">
        <f t="shared" si="9"/>
        <v>0.96711111111111103</v>
      </c>
      <c r="AG15" s="573"/>
    </row>
    <row r="16" spans="1:33" ht="16.5" customHeight="1">
      <c r="A16" s="601" t="s">
        <v>904</v>
      </c>
      <c r="B16" s="187" t="s">
        <v>74</v>
      </c>
      <c r="C16" s="594" t="s">
        <v>86</v>
      </c>
      <c r="D16" s="594"/>
      <c r="E16" s="39">
        <v>50.92</v>
      </c>
      <c r="F16" s="187">
        <v>2283</v>
      </c>
      <c r="G16" s="180">
        <f t="shared" si="15"/>
        <v>116250.36</v>
      </c>
      <c r="H16" s="48" t="s">
        <v>126</v>
      </c>
      <c r="I16" s="184">
        <v>15</v>
      </c>
      <c r="J16" s="43">
        <v>2000</v>
      </c>
      <c r="K16" s="18">
        <f t="shared" si="1"/>
        <v>133.33333333333334</v>
      </c>
      <c r="L16" s="184">
        <v>15</v>
      </c>
      <c r="M16" s="19">
        <f t="shared" si="16"/>
        <v>1929.2957746478853</v>
      </c>
      <c r="N16" s="18">
        <f t="shared" si="3"/>
        <v>128.61971830985902</v>
      </c>
      <c r="O16" s="20">
        <f t="shared" si="4"/>
        <v>0</v>
      </c>
      <c r="P16" s="21">
        <f t="shared" si="5"/>
        <v>-4.7136150234743184</v>
      </c>
      <c r="Q16" s="179">
        <f t="shared" si="6"/>
        <v>0.96464788732394258</v>
      </c>
      <c r="R16" s="573"/>
      <c r="S16" s="49">
        <v>0.74375000000000002</v>
      </c>
      <c r="T16" s="49">
        <v>0.79305555555555562</v>
      </c>
      <c r="U16" s="180">
        <f t="shared" si="18"/>
        <v>5.9999999999999787</v>
      </c>
      <c r="V16" s="185">
        <f t="shared" si="17"/>
        <v>71.000000000000071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-70.70422535211469</v>
      </c>
      <c r="AF16" s="179">
        <f t="shared" si="9"/>
        <v>0.96464788732394269</v>
      </c>
      <c r="AG16" s="573"/>
    </row>
    <row r="17" spans="1:33" ht="16.5" customHeight="1">
      <c r="A17" s="601" t="s">
        <v>905</v>
      </c>
      <c r="B17" s="187" t="s">
        <v>74</v>
      </c>
      <c r="C17" s="594" t="s">
        <v>87</v>
      </c>
      <c r="D17" s="594"/>
      <c r="E17" s="39">
        <v>57.3</v>
      </c>
      <c r="F17" s="187">
        <v>1416</v>
      </c>
      <c r="G17" s="180">
        <f t="shared" si="15"/>
        <v>81136.800000000003</v>
      </c>
      <c r="H17" s="48" t="s">
        <v>126</v>
      </c>
      <c r="I17" s="184">
        <v>13</v>
      </c>
      <c r="J17" s="43">
        <v>2000</v>
      </c>
      <c r="K17" s="18">
        <f t="shared" si="1"/>
        <v>153.84615384615384</v>
      </c>
      <c r="L17" s="184">
        <v>13</v>
      </c>
      <c r="M17" s="19">
        <f t="shared" si="16"/>
        <v>1930.9090909090908</v>
      </c>
      <c r="N17" s="18">
        <f t="shared" si="3"/>
        <v>148.53146853146853</v>
      </c>
      <c r="O17" s="20">
        <f t="shared" si="4"/>
        <v>0</v>
      </c>
      <c r="P17" s="21">
        <f t="shared" si="5"/>
        <v>-5.3146853146853061</v>
      </c>
      <c r="Q17" s="179">
        <f t="shared" si="6"/>
        <v>0.96545454545454545</v>
      </c>
      <c r="R17" s="573"/>
      <c r="S17" s="49">
        <v>0.79652777777777783</v>
      </c>
      <c r="T17" s="49">
        <v>0.82708333333333339</v>
      </c>
      <c r="U17" s="180">
        <f t="shared" si="18"/>
        <v>4.9999999999999822</v>
      </c>
      <c r="V17" s="185">
        <f t="shared" si="17"/>
        <v>44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-69.090909090909236</v>
      </c>
      <c r="AF17" s="179">
        <f t="shared" si="9"/>
        <v>0.96545454545454534</v>
      </c>
      <c r="AG17" s="573"/>
    </row>
    <row r="18" spans="1:33" ht="16.5" customHeight="1">
      <c r="A18" s="601" t="s">
        <v>50</v>
      </c>
      <c r="B18" s="39" t="s">
        <v>906</v>
      </c>
      <c r="C18" s="576"/>
      <c r="D18" s="576"/>
      <c r="E18" s="181"/>
      <c r="F18" s="42"/>
      <c r="G18" s="18"/>
      <c r="H18" s="187"/>
      <c r="I18" s="32">
        <v>17.5</v>
      </c>
      <c r="J18" s="43">
        <v>1750</v>
      </c>
      <c r="K18" s="18">
        <f t="shared" si="1"/>
        <v>100</v>
      </c>
      <c r="L18" s="32">
        <v>17.5</v>
      </c>
      <c r="M18" s="19">
        <f>AVERAGE(M14:M17)</f>
        <v>1685.9531771735581</v>
      </c>
      <c r="N18" s="18">
        <f t="shared" si="3"/>
        <v>96.340181552774752</v>
      </c>
      <c r="O18" s="20">
        <f t="shared" si="4"/>
        <v>0</v>
      </c>
      <c r="P18" s="21">
        <f t="shared" si="5"/>
        <v>-3.6598184472252484</v>
      </c>
      <c r="Q18" s="179">
        <f t="shared" si="6"/>
        <v>0.96340181552774751</v>
      </c>
      <c r="R18" s="573"/>
      <c r="S18" s="49"/>
      <c r="T18" s="49"/>
      <c r="U18" s="180"/>
      <c r="V18" s="185"/>
      <c r="W18" s="18"/>
      <c r="X18" s="18"/>
      <c r="Y18" s="33">
        <f>SUM(Y14:Y17)</f>
        <v>0</v>
      </c>
      <c r="Z18" s="33">
        <f>SUM(Z14:Z17)</f>
        <v>0</v>
      </c>
      <c r="AA18" s="572"/>
      <c r="AB18" s="572"/>
      <c r="AC18" s="33">
        <v>4</v>
      </c>
      <c r="AD18" s="33">
        <f>SUM(AD14:AD17)</f>
        <v>0</v>
      </c>
      <c r="AE18" s="20">
        <f t="shared" si="8"/>
        <v>-64.046822826441939</v>
      </c>
      <c r="AF18" s="179">
        <f t="shared" si="9"/>
        <v>0.96340181552774751</v>
      </c>
      <c r="AG18" s="573"/>
    </row>
    <row r="19" spans="1:33" ht="15.75" customHeight="1">
      <c r="A19" s="596" t="s">
        <v>53</v>
      </c>
      <c r="B19" s="39" t="s">
        <v>74</v>
      </c>
      <c r="C19" s="594" t="s">
        <v>84</v>
      </c>
      <c r="D19" s="594"/>
      <c r="E19" s="39">
        <v>54.09</v>
      </c>
      <c r="F19" s="187">
        <v>1590</v>
      </c>
      <c r="G19" s="180">
        <f t="shared" ref="G19:G24" si="19">E19*F19</f>
        <v>86003.1</v>
      </c>
      <c r="H19" s="48" t="s">
        <v>126</v>
      </c>
      <c r="I19" s="184">
        <v>17</v>
      </c>
      <c r="J19" s="43">
        <v>1500</v>
      </c>
      <c r="K19" s="18">
        <f t="shared" si="1"/>
        <v>88.235294117647058</v>
      </c>
      <c r="L19" s="184">
        <v>17</v>
      </c>
      <c r="M19" s="19">
        <f t="shared" ref="M19:M24" si="20">F19/V19*60</f>
        <v>1445.454545454546</v>
      </c>
      <c r="N19" s="18">
        <f t="shared" si="3"/>
        <v>85.026737967914471</v>
      </c>
      <c r="O19" s="20">
        <f t="shared" si="4"/>
        <v>0</v>
      </c>
      <c r="P19" s="21">
        <f t="shared" si="5"/>
        <v>-3.208556149732587</v>
      </c>
      <c r="Q19" s="179">
        <f t="shared" si="6"/>
        <v>0.96363636363636407</v>
      </c>
      <c r="R19" s="573">
        <f>Q25</f>
        <v>0.96089912364368846</v>
      </c>
      <c r="S19" s="49">
        <v>0.20833333333333334</v>
      </c>
      <c r="T19" s="49">
        <v>0.25416666666666665</v>
      </c>
      <c r="U19" s="180"/>
      <c r="V19" s="185">
        <f t="shared" ref="V19:V24" si="21">(T19-S19)*24*60</f>
        <v>65.999999999999972</v>
      </c>
      <c r="W19" s="30"/>
      <c r="X19" s="30"/>
      <c r="Y19" s="30"/>
      <c r="Z19" s="30"/>
      <c r="AA19" s="575"/>
      <c r="AB19" s="575"/>
      <c r="AC19" s="50">
        <v>6</v>
      </c>
      <c r="AD19" s="27"/>
      <c r="AE19" s="20">
        <f t="shared" si="8"/>
        <v>-54.545454545454049</v>
      </c>
      <c r="AF19" s="179">
        <f t="shared" si="9"/>
        <v>0.96363636363636396</v>
      </c>
      <c r="AG19" s="573">
        <f>AF25</f>
        <v>0.96089912364368846</v>
      </c>
    </row>
    <row r="20" spans="1:33" ht="15.75" customHeight="1">
      <c r="A20" s="597" t="s">
        <v>53</v>
      </c>
      <c r="B20" s="39" t="s">
        <v>74</v>
      </c>
      <c r="C20" s="594" t="s">
        <v>89</v>
      </c>
      <c r="D20" s="594"/>
      <c r="E20" s="39">
        <v>50.67</v>
      </c>
      <c r="F20" s="187">
        <v>1930</v>
      </c>
      <c r="G20" s="180">
        <f t="shared" si="19"/>
        <v>97793.1</v>
      </c>
      <c r="H20" s="48" t="s">
        <v>126</v>
      </c>
      <c r="I20" s="184">
        <v>17</v>
      </c>
      <c r="J20" s="43">
        <v>2000</v>
      </c>
      <c r="K20" s="18">
        <f t="shared" si="1"/>
        <v>117.64705882352941</v>
      </c>
      <c r="L20" s="184">
        <v>17</v>
      </c>
      <c r="M20" s="19">
        <f t="shared" si="20"/>
        <v>1929.9999999999991</v>
      </c>
      <c r="N20" s="18">
        <f t="shared" si="3"/>
        <v>113.52941176470583</v>
      </c>
      <c r="O20" s="20">
        <f t="shared" si="4"/>
        <v>0</v>
      </c>
      <c r="P20" s="21">
        <f t="shared" si="5"/>
        <v>-4.1176470588235787</v>
      </c>
      <c r="Q20" s="179">
        <f t="shared" si="6"/>
        <v>0.96499999999999952</v>
      </c>
      <c r="R20" s="573"/>
      <c r="S20" s="49">
        <v>0.2583333333333333</v>
      </c>
      <c r="T20" s="49">
        <v>0.3</v>
      </c>
      <c r="U20" s="180">
        <f t="shared" ref="U20:U24" si="22">IF(S20=TIME(17,0,0),"",(S20-T19)*24*60)</f>
        <v>5.9999999999999787</v>
      </c>
      <c r="V20" s="185">
        <f t="shared" si="21"/>
        <v>60.000000000000028</v>
      </c>
      <c r="W20" s="25"/>
      <c r="X20" s="180"/>
      <c r="Y20" s="180"/>
      <c r="Z20" s="180"/>
      <c r="AA20" s="575"/>
      <c r="AB20" s="575"/>
      <c r="AC20" s="50"/>
      <c r="AD20" s="27"/>
      <c r="AE20" s="20">
        <f t="shared" si="8"/>
        <v>-70.000000000000909</v>
      </c>
      <c r="AF20" s="179">
        <f t="shared" si="9"/>
        <v>0.96499999999999952</v>
      </c>
      <c r="AG20" s="573"/>
    </row>
    <row r="21" spans="1:33" ht="15.75" customHeight="1">
      <c r="A21" s="597" t="s">
        <v>53</v>
      </c>
      <c r="B21" s="39" t="s">
        <v>74</v>
      </c>
      <c r="C21" s="594" t="s">
        <v>90</v>
      </c>
      <c r="D21" s="594"/>
      <c r="E21" s="39">
        <v>57.73</v>
      </c>
      <c r="F21" s="187">
        <v>2057</v>
      </c>
      <c r="G21" s="180">
        <f t="shared" si="19"/>
        <v>118750.61</v>
      </c>
      <c r="H21" s="48" t="s">
        <v>126</v>
      </c>
      <c r="I21" s="184">
        <v>14</v>
      </c>
      <c r="J21" s="43">
        <v>2000</v>
      </c>
      <c r="K21" s="18">
        <f t="shared" si="1"/>
        <v>142.85714285714286</v>
      </c>
      <c r="L21" s="184">
        <v>14</v>
      </c>
      <c r="M21" s="19">
        <f t="shared" si="20"/>
        <v>1928.4374999999995</v>
      </c>
      <c r="N21" s="18">
        <f t="shared" si="3"/>
        <v>137.74553571428569</v>
      </c>
      <c r="O21" s="20">
        <f t="shared" si="4"/>
        <v>0</v>
      </c>
      <c r="P21" s="21">
        <f t="shared" si="5"/>
        <v>-5.1116071428571672</v>
      </c>
      <c r="Q21" s="179">
        <f t="shared" si="6"/>
        <v>0.96421874999999979</v>
      </c>
      <c r="R21" s="573"/>
      <c r="S21" s="49">
        <v>0.3034722222222222</v>
      </c>
      <c r="T21" s="49">
        <v>0.34791666666666665</v>
      </c>
      <c r="U21" s="180">
        <f t="shared" si="22"/>
        <v>4.9999999999999822</v>
      </c>
      <c r="V21" s="185">
        <f t="shared" si="21"/>
        <v>64.000000000000014</v>
      </c>
      <c r="W21" s="25"/>
      <c r="X21" s="180"/>
      <c r="Y21" s="180"/>
      <c r="Z21" s="180"/>
      <c r="AA21" s="575"/>
      <c r="AB21" s="575"/>
      <c r="AC21" s="50"/>
      <c r="AD21" s="27"/>
      <c r="AE21" s="20">
        <f t="shared" si="8"/>
        <v>-71.562500000000455</v>
      </c>
      <c r="AF21" s="179">
        <f t="shared" si="9"/>
        <v>0.96421874999999979</v>
      </c>
      <c r="AG21" s="573"/>
    </row>
    <row r="22" spans="1:33" ht="15.75" customHeight="1">
      <c r="A22" s="597" t="s">
        <v>907</v>
      </c>
      <c r="B22" s="39" t="s">
        <v>74</v>
      </c>
      <c r="C22" s="594" t="s">
        <v>91</v>
      </c>
      <c r="D22" s="594"/>
      <c r="E22" s="39">
        <v>53.68</v>
      </c>
      <c r="F22" s="187">
        <v>1126</v>
      </c>
      <c r="G22" s="180">
        <f t="shared" si="19"/>
        <v>60443.68</v>
      </c>
      <c r="H22" s="48" t="s">
        <v>126</v>
      </c>
      <c r="I22" s="184">
        <v>16</v>
      </c>
      <c r="J22" s="43">
        <v>2000</v>
      </c>
      <c r="K22" s="18">
        <f t="shared" si="1"/>
        <v>125</v>
      </c>
      <c r="L22" s="184">
        <v>16</v>
      </c>
      <c r="M22" s="19">
        <f t="shared" si="20"/>
        <v>1930.2857142857122</v>
      </c>
      <c r="N22" s="18">
        <f t="shared" si="3"/>
        <v>120.64285714285701</v>
      </c>
      <c r="O22" s="20">
        <f t="shared" si="4"/>
        <v>0</v>
      </c>
      <c r="P22" s="21">
        <f t="shared" si="5"/>
        <v>-4.3571428571429891</v>
      </c>
      <c r="Q22" s="179">
        <f t="shared" si="6"/>
        <v>0.96514285714285608</v>
      </c>
      <c r="R22" s="573"/>
      <c r="S22" s="49">
        <v>0.35277777777777775</v>
      </c>
      <c r="T22" s="49">
        <v>0.37708333333333333</v>
      </c>
      <c r="U22" s="180">
        <f t="shared" si="22"/>
        <v>6.9999999999999751</v>
      </c>
      <c r="V22" s="185">
        <f t="shared" si="21"/>
        <v>35.000000000000036</v>
      </c>
      <c r="W22" s="25"/>
      <c r="X22" s="180"/>
      <c r="Y22" s="180"/>
      <c r="Z22" s="180"/>
      <c r="AA22" s="575"/>
      <c r="AB22" s="575"/>
      <c r="AC22" s="50"/>
      <c r="AD22" s="27"/>
      <c r="AE22" s="20">
        <f t="shared" si="8"/>
        <v>-69.714285714287826</v>
      </c>
      <c r="AF22" s="179">
        <f t="shared" si="9"/>
        <v>0.96514285714285608</v>
      </c>
      <c r="AG22" s="573"/>
    </row>
    <row r="23" spans="1:33" ht="15.75" customHeight="1">
      <c r="A23" s="597" t="s">
        <v>908</v>
      </c>
      <c r="B23" s="39" t="s">
        <v>74</v>
      </c>
      <c r="C23" s="594" t="s">
        <v>92</v>
      </c>
      <c r="D23" s="594"/>
      <c r="E23" s="39">
        <v>50.49</v>
      </c>
      <c r="F23" s="187">
        <v>1914</v>
      </c>
      <c r="G23" s="180">
        <f t="shared" si="19"/>
        <v>96637.86</v>
      </c>
      <c r="H23" s="48" t="s">
        <v>126</v>
      </c>
      <c r="I23" s="184">
        <v>15</v>
      </c>
      <c r="J23" s="43">
        <v>2000</v>
      </c>
      <c r="K23" s="18">
        <f t="shared" si="1"/>
        <v>133.33333333333334</v>
      </c>
      <c r="L23" s="184">
        <v>15</v>
      </c>
      <c r="M23" s="19">
        <f t="shared" si="20"/>
        <v>1914.0000000000018</v>
      </c>
      <c r="N23" s="18">
        <f t="shared" si="3"/>
        <v>127.60000000000012</v>
      </c>
      <c r="O23" s="20">
        <f t="shared" si="4"/>
        <v>0</v>
      </c>
      <c r="P23" s="21">
        <f t="shared" si="5"/>
        <v>-5.7333333333332206</v>
      </c>
      <c r="Q23" s="179">
        <f t="shared" si="6"/>
        <v>0.95700000000000085</v>
      </c>
      <c r="R23" s="573"/>
      <c r="S23" s="49">
        <v>0.70833333333333337</v>
      </c>
      <c r="T23" s="49">
        <v>0.75</v>
      </c>
      <c r="U23" s="180" t="str">
        <f t="shared" si="22"/>
        <v/>
      </c>
      <c r="V23" s="185">
        <f t="shared" si="21"/>
        <v>59.999999999999943</v>
      </c>
      <c r="W23" s="25"/>
      <c r="X23" s="25"/>
      <c r="Y23" s="180"/>
      <c r="Z23" s="180"/>
      <c r="AA23" s="575"/>
      <c r="AB23" s="575"/>
      <c r="AC23" s="50"/>
      <c r="AD23" s="27"/>
      <c r="AE23" s="20">
        <f t="shared" si="8"/>
        <v>-85.999999999998181</v>
      </c>
      <c r="AF23" s="179">
        <f t="shared" si="9"/>
        <v>0.95700000000000096</v>
      </c>
      <c r="AG23" s="573"/>
    </row>
    <row r="24" spans="1:33" ht="15.75" customHeight="1">
      <c r="A24" s="597" t="s">
        <v>909</v>
      </c>
      <c r="B24" s="39" t="s">
        <v>74</v>
      </c>
      <c r="C24" s="594" t="s">
        <v>93</v>
      </c>
      <c r="D24" s="594"/>
      <c r="E24" s="39">
        <v>50.98</v>
      </c>
      <c r="F24" s="187">
        <v>2346</v>
      </c>
      <c r="G24" s="180">
        <f t="shared" si="19"/>
        <v>119599.07999999999</v>
      </c>
      <c r="H24" s="48" t="s">
        <v>126</v>
      </c>
      <c r="I24" s="184">
        <v>16</v>
      </c>
      <c r="J24" s="43">
        <v>2000</v>
      </c>
      <c r="K24" s="18">
        <f t="shared" si="1"/>
        <v>125</v>
      </c>
      <c r="L24" s="184">
        <v>16</v>
      </c>
      <c r="M24" s="19">
        <f t="shared" si="20"/>
        <v>1902.1621621621607</v>
      </c>
      <c r="N24" s="18">
        <f t="shared" si="3"/>
        <v>118.88513513513504</v>
      </c>
      <c r="O24" s="20">
        <f t="shared" si="4"/>
        <v>0</v>
      </c>
      <c r="P24" s="21">
        <f t="shared" si="5"/>
        <v>-6.1148648648649555</v>
      </c>
      <c r="Q24" s="179">
        <f t="shared" si="6"/>
        <v>0.95108108108108036</v>
      </c>
      <c r="R24" s="573"/>
      <c r="S24" s="49">
        <v>0.75486111111111109</v>
      </c>
      <c r="T24" s="49">
        <v>0.80625000000000002</v>
      </c>
      <c r="U24" s="180">
        <f t="shared" si="22"/>
        <v>6.9999999999999751</v>
      </c>
      <c r="V24" s="185">
        <f t="shared" si="21"/>
        <v>74.000000000000057</v>
      </c>
      <c r="W24" s="25"/>
      <c r="X24" s="30"/>
      <c r="Y24" s="30"/>
      <c r="Z24" s="30"/>
      <c r="AA24" s="575"/>
      <c r="AB24" s="575"/>
      <c r="AC24" s="50"/>
      <c r="AD24" s="27"/>
      <c r="AE24" s="20">
        <f t="shared" si="8"/>
        <v>-97.837837837839288</v>
      </c>
      <c r="AF24" s="179">
        <f t="shared" si="9"/>
        <v>0.95108108108108036</v>
      </c>
      <c r="AG24" s="573"/>
    </row>
    <row r="25" spans="1:33" ht="15.75" customHeight="1">
      <c r="A25" s="597" t="s">
        <v>53</v>
      </c>
      <c r="B25" s="39" t="s">
        <v>910</v>
      </c>
      <c r="C25" s="576"/>
      <c r="D25" s="576"/>
      <c r="E25" s="181"/>
      <c r="F25" s="187"/>
      <c r="G25" s="180"/>
      <c r="H25" s="187"/>
      <c r="I25" s="32">
        <v>15.833333333333334</v>
      </c>
      <c r="J25" s="43">
        <v>1916.6666666666667</v>
      </c>
      <c r="K25" s="18">
        <f t="shared" si="1"/>
        <v>121.05263157894737</v>
      </c>
      <c r="L25" s="32">
        <v>15.833333333333334</v>
      </c>
      <c r="M25" s="19">
        <f>AVERAGE(M19:M24)</f>
        <v>1841.7233203170697</v>
      </c>
      <c r="N25" s="18">
        <f t="shared" si="3"/>
        <v>116.31936759897282</v>
      </c>
      <c r="O25" s="20">
        <f t="shared" si="4"/>
        <v>0</v>
      </c>
      <c r="P25" s="21">
        <f t="shared" si="5"/>
        <v>-4.7332639799745522</v>
      </c>
      <c r="Q25" s="179">
        <f t="shared" si="6"/>
        <v>0.96089912364368846</v>
      </c>
      <c r="R25" s="573"/>
      <c r="S25" s="49"/>
      <c r="T25" s="49"/>
      <c r="U25" s="18"/>
      <c r="V25" s="185"/>
      <c r="W25" s="18"/>
      <c r="X25" s="18"/>
      <c r="Y25" s="33">
        <f>SUM(Y19:Y24)</f>
        <v>0</v>
      </c>
      <c r="Z25" s="33">
        <f>SUM(Z19:Z24)</f>
        <v>0</v>
      </c>
      <c r="AA25" s="572"/>
      <c r="AB25" s="572"/>
      <c r="AC25" s="33">
        <v>6</v>
      </c>
      <c r="AD25" s="33">
        <f>SUM(AD19:AD24)</f>
        <v>0</v>
      </c>
      <c r="AE25" s="20">
        <f t="shared" si="8"/>
        <v>-74.94334634959705</v>
      </c>
      <c r="AF25" s="179">
        <f t="shared" si="9"/>
        <v>0.96089912364368846</v>
      </c>
      <c r="AG25" s="573"/>
    </row>
    <row r="26" spans="1:33" ht="15.75" customHeight="1">
      <c r="A26" s="595" t="s">
        <v>55</v>
      </c>
      <c r="B26" s="39" t="s">
        <v>94</v>
      </c>
      <c r="C26" s="594" t="s">
        <v>95</v>
      </c>
      <c r="D26" s="594"/>
      <c r="E26" s="39">
        <v>31.29</v>
      </c>
      <c r="F26" s="187">
        <v>6000</v>
      </c>
      <c r="G26" s="180">
        <f t="shared" ref="G26:G32" si="23">E26*F26</f>
        <v>187740</v>
      </c>
      <c r="H26" s="48">
        <v>2</v>
      </c>
      <c r="I26" s="184">
        <v>18</v>
      </c>
      <c r="J26" s="43">
        <v>2400</v>
      </c>
      <c r="K26" s="18">
        <f t="shared" si="1"/>
        <v>133.33333333333334</v>
      </c>
      <c r="L26" s="184">
        <v>18</v>
      </c>
      <c r="M26" s="19">
        <f t="shared" ref="M26:M32" si="24">F26/V26*60</f>
        <v>2292.993630573249</v>
      </c>
      <c r="N26" s="18">
        <f t="shared" si="3"/>
        <v>127.38853503184717</v>
      </c>
      <c r="O26" s="20">
        <f t="shared" si="4"/>
        <v>0</v>
      </c>
      <c r="P26" s="21">
        <f t="shared" si="5"/>
        <v>-5.9447983014861734</v>
      </c>
      <c r="Q26" s="179">
        <f t="shared" si="6"/>
        <v>0.95541401273885374</v>
      </c>
      <c r="R26" s="573">
        <f>Q33</f>
        <v>0.95588006231022815</v>
      </c>
      <c r="S26" s="49">
        <v>8.3333333333333329E-2</v>
      </c>
      <c r="T26" s="49">
        <v>0.19236111111111109</v>
      </c>
      <c r="U26" s="180"/>
      <c r="V26" s="185">
        <f t="shared" ref="V26:V32" si="25">(T26-S26)*24*60</f>
        <v>156.99999999999997</v>
      </c>
      <c r="W26" s="25">
        <f>T26</f>
        <v>0.19236111111111109</v>
      </c>
      <c r="X26" s="25">
        <f>S27</f>
        <v>0.21249999999999999</v>
      </c>
      <c r="Y26" s="25"/>
      <c r="Z26" s="25"/>
      <c r="AA26" s="575"/>
      <c r="AB26" s="575"/>
      <c r="AC26" s="50">
        <v>7</v>
      </c>
      <c r="AD26" s="27"/>
      <c r="AE26" s="20">
        <f t="shared" si="8"/>
        <v>-107.00636942675101</v>
      </c>
      <c r="AF26" s="179">
        <f t="shared" si="9"/>
        <v>0.95541401273885374</v>
      </c>
      <c r="AG26" s="573">
        <f>AF33</f>
        <v>0.95588006231022826</v>
      </c>
    </row>
    <row r="27" spans="1:33" ht="15.75" customHeight="1">
      <c r="A27" s="595" t="s">
        <v>55</v>
      </c>
      <c r="B27" s="39" t="s">
        <v>94</v>
      </c>
      <c r="C27" s="594" t="s">
        <v>97</v>
      </c>
      <c r="D27" s="594"/>
      <c r="E27" s="39">
        <v>26.37</v>
      </c>
      <c r="F27" s="187">
        <v>5756</v>
      </c>
      <c r="G27" s="180">
        <f t="shared" si="23"/>
        <v>151785.72</v>
      </c>
      <c r="H27" s="48" t="s">
        <v>126</v>
      </c>
      <c r="I27" s="184">
        <v>19</v>
      </c>
      <c r="J27" s="43">
        <v>2400</v>
      </c>
      <c r="K27" s="18">
        <f t="shared" si="1"/>
        <v>126.31578947368421</v>
      </c>
      <c r="L27" s="184">
        <v>19</v>
      </c>
      <c r="M27" s="19">
        <f t="shared" si="24"/>
        <v>2287.1523178807947</v>
      </c>
      <c r="N27" s="18">
        <f t="shared" si="3"/>
        <v>120.37643778319972</v>
      </c>
      <c r="O27" s="20">
        <f t="shared" si="4"/>
        <v>0</v>
      </c>
      <c r="P27" s="21">
        <f t="shared" si="5"/>
        <v>-5.9393516904844859</v>
      </c>
      <c r="Q27" s="179">
        <f t="shared" si="6"/>
        <v>0.9529801324503312</v>
      </c>
      <c r="R27" s="573"/>
      <c r="S27" s="49">
        <v>0.21249999999999999</v>
      </c>
      <c r="T27" s="49">
        <v>0.31736111111111109</v>
      </c>
      <c r="U27" s="180">
        <f t="shared" ref="U27:U32" si="26">(S27-T26)*24*60</f>
        <v>29.000000000000018</v>
      </c>
      <c r="V27" s="185">
        <f t="shared" si="25"/>
        <v>151</v>
      </c>
      <c r="W27" s="25"/>
      <c r="X27" s="25"/>
      <c r="Y27" s="25"/>
      <c r="Z27" s="25"/>
      <c r="AA27" s="575"/>
      <c r="AB27" s="575"/>
      <c r="AC27" s="50"/>
      <c r="AD27" s="27"/>
      <c r="AE27" s="20">
        <f t="shared" si="8"/>
        <v>-112.84768211920527</v>
      </c>
      <c r="AF27" s="179">
        <f t="shared" si="9"/>
        <v>0.95298013245033109</v>
      </c>
      <c r="AG27" s="573"/>
    </row>
    <row r="28" spans="1:33" ht="15.75" customHeight="1">
      <c r="A28" s="595" t="s">
        <v>55</v>
      </c>
      <c r="B28" s="39" t="s">
        <v>94</v>
      </c>
      <c r="C28" s="594" t="s">
        <v>98</v>
      </c>
      <c r="D28" s="594"/>
      <c r="E28" s="39">
        <v>25.99</v>
      </c>
      <c r="F28" s="187">
        <v>2600</v>
      </c>
      <c r="G28" s="180">
        <f t="shared" si="23"/>
        <v>67574</v>
      </c>
      <c r="H28" s="48">
        <v>2</v>
      </c>
      <c r="I28" s="184">
        <v>14</v>
      </c>
      <c r="J28" s="43">
        <v>2400</v>
      </c>
      <c r="K28" s="18">
        <f t="shared" si="1"/>
        <v>171.42857142857142</v>
      </c>
      <c r="L28" s="184">
        <v>14</v>
      </c>
      <c r="M28" s="19">
        <f t="shared" si="24"/>
        <v>2294.1176470588234</v>
      </c>
      <c r="N28" s="18">
        <f t="shared" si="3"/>
        <v>163.8655462184874</v>
      </c>
      <c r="O28" s="20">
        <f t="shared" si="4"/>
        <v>0</v>
      </c>
      <c r="P28" s="21">
        <f t="shared" si="5"/>
        <v>-7.563025210084021</v>
      </c>
      <c r="Q28" s="179">
        <f t="shared" si="6"/>
        <v>0.95588235294117652</v>
      </c>
      <c r="R28" s="573"/>
      <c r="S28" s="49">
        <v>0.32291666666666663</v>
      </c>
      <c r="T28" s="49">
        <v>0.37013888888888885</v>
      </c>
      <c r="U28" s="180">
        <f t="shared" si="26"/>
        <v>7.9999999999999716</v>
      </c>
      <c r="V28" s="185">
        <f t="shared" si="25"/>
        <v>68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-105.88235294117658</v>
      </c>
      <c r="AF28" s="179">
        <f t="shared" si="9"/>
        <v>0.95588235294117641</v>
      </c>
      <c r="AG28" s="573"/>
    </row>
    <row r="29" spans="1:33" ht="15.75" customHeight="1">
      <c r="A29" s="595" t="s">
        <v>911</v>
      </c>
      <c r="B29" s="39" t="s">
        <v>94</v>
      </c>
      <c r="C29" s="594" t="s">
        <v>529</v>
      </c>
      <c r="D29" s="594"/>
      <c r="E29" s="39">
        <v>26.18</v>
      </c>
      <c r="F29" s="187">
        <v>5200</v>
      </c>
      <c r="G29" s="180">
        <f t="shared" si="23"/>
        <v>136136</v>
      </c>
      <c r="H29" s="48">
        <v>2</v>
      </c>
      <c r="I29" s="184">
        <v>19</v>
      </c>
      <c r="J29" s="43">
        <v>2400</v>
      </c>
      <c r="K29" s="18">
        <f t="shared" si="1"/>
        <v>126.31578947368421</v>
      </c>
      <c r="L29" s="184">
        <v>19</v>
      </c>
      <c r="M29" s="19">
        <f t="shared" si="24"/>
        <v>2294.1176470588234</v>
      </c>
      <c r="N29" s="18">
        <f t="shared" si="3"/>
        <v>120.74303405572755</v>
      </c>
      <c r="O29" s="20">
        <f t="shared" si="4"/>
        <v>0</v>
      </c>
      <c r="P29" s="21">
        <f t="shared" si="5"/>
        <v>-5.5727554179566567</v>
      </c>
      <c r="Q29" s="179">
        <f t="shared" si="6"/>
        <v>0.95588235294117652</v>
      </c>
      <c r="R29" s="573"/>
      <c r="S29" s="49">
        <v>0.37361111111111106</v>
      </c>
      <c r="T29" s="49">
        <v>0.4680555555555555</v>
      </c>
      <c r="U29" s="180">
        <f t="shared" si="26"/>
        <v>4.9999999999999822</v>
      </c>
      <c r="V29" s="185">
        <f t="shared" si="25"/>
        <v>136</v>
      </c>
      <c r="W29" s="25">
        <f>T29</f>
        <v>0.4680555555555555</v>
      </c>
      <c r="X29" s="25">
        <f>S30</f>
        <v>0.50833333333333319</v>
      </c>
      <c r="Y29" s="25"/>
      <c r="Z29" s="25"/>
      <c r="AA29" s="575"/>
      <c r="AB29" s="575"/>
      <c r="AC29" s="50"/>
      <c r="AD29" s="27"/>
      <c r="AE29" s="20">
        <f t="shared" si="8"/>
        <v>-105.88235294117658</v>
      </c>
      <c r="AF29" s="179">
        <f t="shared" si="9"/>
        <v>0.95588235294117641</v>
      </c>
      <c r="AG29" s="573"/>
    </row>
    <row r="30" spans="1:33" ht="15.75" customHeight="1">
      <c r="A30" s="595" t="s">
        <v>55</v>
      </c>
      <c r="B30" s="39" t="s">
        <v>94</v>
      </c>
      <c r="C30" s="594" t="s">
        <v>95</v>
      </c>
      <c r="D30" s="594"/>
      <c r="E30" s="39">
        <v>31.29</v>
      </c>
      <c r="F30" s="187">
        <v>3932</v>
      </c>
      <c r="G30" s="180">
        <f t="shared" si="23"/>
        <v>123032.28</v>
      </c>
      <c r="H30" s="48" t="s">
        <v>126</v>
      </c>
      <c r="I30" s="184">
        <v>18</v>
      </c>
      <c r="J30" s="43">
        <v>2400</v>
      </c>
      <c r="K30" s="18">
        <f t="shared" si="1"/>
        <v>133.33333333333334</v>
      </c>
      <c r="L30" s="184">
        <v>18</v>
      </c>
      <c r="M30" s="19">
        <f t="shared" si="24"/>
        <v>2290.4854368932047</v>
      </c>
      <c r="N30" s="18">
        <f t="shared" si="3"/>
        <v>127.24919093851138</v>
      </c>
      <c r="O30" s="20">
        <f t="shared" si="4"/>
        <v>0</v>
      </c>
      <c r="P30" s="21">
        <f t="shared" si="5"/>
        <v>-6.0841423948219671</v>
      </c>
      <c r="Q30" s="179">
        <f t="shared" si="6"/>
        <v>0.95436893203883522</v>
      </c>
      <c r="R30" s="573"/>
      <c r="S30" s="49">
        <v>0.50833333333333319</v>
      </c>
      <c r="T30" s="49">
        <v>0.57986111111111094</v>
      </c>
      <c r="U30" s="180">
        <f t="shared" si="26"/>
        <v>57.999999999999872</v>
      </c>
      <c r="V30" s="185">
        <f t="shared" si="25"/>
        <v>102.99999999999996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-109.51456310679532</v>
      </c>
      <c r="AF30" s="179">
        <f t="shared" si="9"/>
        <v>0.95436893203883533</v>
      </c>
      <c r="AG30" s="573"/>
    </row>
    <row r="31" spans="1:33" ht="15.75" customHeight="1">
      <c r="A31" s="595" t="s">
        <v>912</v>
      </c>
      <c r="B31" s="39" t="s">
        <v>94</v>
      </c>
      <c r="C31" s="594" t="s">
        <v>98</v>
      </c>
      <c r="D31" s="594"/>
      <c r="E31" s="39">
        <v>25.99</v>
      </c>
      <c r="F31" s="187">
        <v>1728</v>
      </c>
      <c r="G31" s="180">
        <f t="shared" si="23"/>
        <v>44910.719999999994</v>
      </c>
      <c r="H31" s="48" t="s">
        <v>126</v>
      </c>
      <c r="I31" s="184">
        <v>14</v>
      </c>
      <c r="J31" s="43">
        <v>2400</v>
      </c>
      <c r="K31" s="18">
        <f t="shared" si="1"/>
        <v>171.42857142857142</v>
      </c>
      <c r="L31" s="184">
        <v>14</v>
      </c>
      <c r="M31" s="19">
        <f t="shared" si="24"/>
        <v>2304</v>
      </c>
      <c r="N31" s="18">
        <f t="shared" si="3"/>
        <v>164.57142857142858</v>
      </c>
      <c r="O31" s="20">
        <f t="shared" si="4"/>
        <v>0</v>
      </c>
      <c r="P31" s="21">
        <f t="shared" si="5"/>
        <v>-6.8571428571428328</v>
      </c>
      <c r="Q31" s="179">
        <f t="shared" si="6"/>
        <v>0.96000000000000019</v>
      </c>
      <c r="R31" s="573"/>
      <c r="S31" s="49">
        <v>0.58472222222222203</v>
      </c>
      <c r="T31" s="49">
        <v>0.61597222222222203</v>
      </c>
      <c r="U31" s="180">
        <f t="shared" si="26"/>
        <v>6.9999999999999751</v>
      </c>
      <c r="V31" s="185">
        <f t="shared" si="25"/>
        <v>45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-96</v>
      </c>
      <c r="AF31" s="179">
        <f t="shared" si="9"/>
        <v>0.96</v>
      </c>
      <c r="AG31" s="573"/>
    </row>
    <row r="32" spans="1:33" ht="15.75" customHeight="1">
      <c r="A32" s="595" t="s">
        <v>55</v>
      </c>
      <c r="B32" s="39" t="s">
        <v>94</v>
      </c>
      <c r="C32" s="594" t="s">
        <v>529</v>
      </c>
      <c r="D32" s="594"/>
      <c r="E32" s="39">
        <v>26.18</v>
      </c>
      <c r="F32" s="187">
        <v>3750</v>
      </c>
      <c r="G32" s="180">
        <f t="shared" si="23"/>
        <v>98175</v>
      </c>
      <c r="H32" s="48" t="s">
        <v>126</v>
      </c>
      <c r="I32" s="184">
        <v>19</v>
      </c>
      <c r="J32" s="43">
        <v>2400</v>
      </c>
      <c r="K32" s="18">
        <f t="shared" si="1"/>
        <v>126.31578947368421</v>
      </c>
      <c r="L32" s="184">
        <v>19</v>
      </c>
      <c r="M32" s="19">
        <f t="shared" si="24"/>
        <v>2295.9183673469392</v>
      </c>
      <c r="N32" s="18">
        <f t="shared" si="3"/>
        <v>120.83780880773365</v>
      </c>
      <c r="O32" s="20">
        <f t="shared" si="4"/>
        <v>0</v>
      </c>
      <c r="P32" s="21">
        <f t="shared" si="5"/>
        <v>-5.4779806659505539</v>
      </c>
      <c r="Q32" s="179">
        <f t="shared" si="6"/>
        <v>0.9566326530612248</v>
      </c>
      <c r="R32" s="573"/>
      <c r="S32" s="49">
        <v>0.62152777777777757</v>
      </c>
      <c r="T32" s="49">
        <v>0.6895833333333331</v>
      </c>
      <c r="U32" s="180">
        <f t="shared" si="26"/>
        <v>7.9999999999999716</v>
      </c>
      <c r="V32" s="185">
        <f t="shared" si="25"/>
        <v>97.999999999999972</v>
      </c>
      <c r="W32" s="25"/>
      <c r="X32" s="25"/>
      <c r="Y32" s="25"/>
      <c r="Z32" s="25"/>
      <c r="AA32" s="575"/>
      <c r="AB32" s="575"/>
      <c r="AC32" s="50"/>
      <c r="AD32" s="27"/>
      <c r="AE32" s="20">
        <f t="shared" si="8"/>
        <v>-104.08163265306075</v>
      </c>
      <c r="AF32" s="179">
        <f t="shared" si="9"/>
        <v>0.95663265306122469</v>
      </c>
      <c r="AG32" s="573"/>
    </row>
    <row r="33" spans="1:33" ht="15.75" customHeight="1">
      <c r="A33" s="595" t="s">
        <v>913</v>
      </c>
      <c r="B33" s="39" t="s">
        <v>283</v>
      </c>
      <c r="C33" s="576"/>
      <c r="D33" s="576"/>
      <c r="E33" s="181"/>
      <c r="F33" s="187"/>
      <c r="G33" s="180"/>
      <c r="H33" s="187"/>
      <c r="I33" s="32">
        <v>17.285714285714285</v>
      </c>
      <c r="J33" s="43">
        <v>2400</v>
      </c>
      <c r="K33" s="18">
        <f t="shared" si="1"/>
        <v>138.84297520661158</v>
      </c>
      <c r="L33" s="32">
        <v>17.285714285714285</v>
      </c>
      <c r="M33" s="19">
        <f>AVERAGE(M26:M32)</f>
        <v>2294.1121495445477</v>
      </c>
      <c r="N33" s="18">
        <f t="shared" si="3"/>
        <v>132.71723179183334</v>
      </c>
      <c r="O33" s="20">
        <f t="shared" si="4"/>
        <v>0</v>
      </c>
      <c r="P33" s="21">
        <f t="shared" si="5"/>
        <v>-6.1257434147782419</v>
      </c>
      <c r="Q33" s="179">
        <f t="shared" si="6"/>
        <v>0.95588006231022815</v>
      </c>
      <c r="R33" s="573"/>
      <c r="S33" s="49"/>
      <c r="T33" s="49"/>
      <c r="U33" s="180"/>
      <c r="V33" s="185"/>
      <c r="W33" s="180"/>
      <c r="X33" s="180"/>
      <c r="Y33" s="33">
        <f>SUM(Y26:Y32)</f>
        <v>0</v>
      </c>
      <c r="Z33" s="33">
        <f>SUM(Z26:Z32)</f>
        <v>0</v>
      </c>
      <c r="AA33" s="572"/>
      <c r="AB33" s="572"/>
      <c r="AC33" s="33">
        <v>7</v>
      </c>
      <c r="AD33" s="33">
        <f>SUM(AD26:AD32)</f>
        <v>0</v>
      </c>
      <c r="AE33" s="20">
        <f t="shared" si="8"/>
        <v>-105.88785045545228</v>
      </c>
      <c r="AF33" s="179">
        <f t="shared" si="9"/>
        <v>0.95588006231022826</v>
      </c>
      <c r="AG33" s="573"/>
    </row>
    <row r="34" spans="1:33" ht="15.75" customHeight="1">
      <c r="A34" s="592" t="s">
        <v>58</v>
      </c>
      <c r="B34" s="39" t="s">
        <v>94</v>
      </c>
      <c r="C34" s="574" t="s">
        <v>530</v>
      </c>
      <c r="D34" s="574"/>
      <c r="E34" s="39">
        <v>26.18</v>
      </c>
      <c r="F34" s="187">
        <v>4500</v>
      </c>
      <c r="G34" s="180">
        <f t="shared" ref="G34:G40" si="27">E34*F34</f>
        <v>117810</v>
      </c>
      <c r="H34" s="48">
        <v>2</v>
      </c>
      <c r="I34" s="184">
        <v>21</v>
      </c>
      <c r="J34" s="43">
        <v>2400</v>
      </c>
      <c r="K34" s="18">
        <f t="shared" si="1"/>
        <v>114.28571428571429</v>
      </c>
      <c r="L34" s="184">
        <v>21</v>
      </c>
      <c r="M34" s="19">
        <f t="shared" ref="M34:M40" si="28">F34/V34*60</f>
        <v>2288.1355932203392</v>
      </c>
      <c r="N34" s="18">
        <f t="shared" si="3"/>
        <v>108.9588377723971</v>
      </c>
      <c r="O34" s="20">
        <f t="shared" si="4"/>
        <v>0</v>
      </c>
      <c r="P34" s="21">
        <f t="shared" si="5"/>
        <v>-5.3268765133171883</v>
      </c>
      <c r="Q34" s="179">
        <f t="shared" si="6"/>
        <v>0.95338983050847459</v>
      </c>
      <c r="R34" s="573">
        <f>Q41</f>
        <v>0.95709620352856828</v>
      </c>
      <c r="S34" s="49">
        <v>8.3333333333333329E-2</v>
      </c>
      <c r="T34" s="49">
        <v>0.16527777777777777</v>
      </c>
      <c r="U34" s="180"/>
      <c r="V34" s="185">
        <f t="shared" ref="V34:V40" si="29">(T34-S34)*24*60</f>
        <v>118</v>
      </c>
      <c r="W34" s="30">
        <f>T34</f>
        <v>0.16527777777777777</v>
      </c>
      <c r="X34" s="30">
        <f>S35</f>
        <v>0.18611111111111112</v>
      </c>
      <c r="Y34" s="30"/>
      <c r="Z34" s="30"/>
      <c r="AA34" s="575"/>
      <c r="AB34" s="575"/>
      <c r="AC34" s="50">
        <v>7</v>
      </c>
      <c r="AD34" s="27"/>
      <c r="AE34" s="20">
        <f t="shared" si="8"/>
        <v>-111.86440677966084</v>
      </c>
      <c r="AF34" s="179">
        <f t="shared" si="9"/>
        <v>0.9533898305084747</v>
      </c>
      <c r="AG34" s="573">
        <f>AF41</f>
        <v>0.95709620352856839</v>
      </c>
    </row>
    <row r="35" spans="1:33" ht="15.75" customHeight="1">
      <c r="A35" s="592" t="s">
        <v>914</v>
      </c>
      <c r="B35" s="39" t="s">
        <v>94</v>
      </c>
      <c r="C35" s="574" t="s">
        <v>100</v>
      </c>
      <c r="D35" s="574"/>
      <c r="E35" s="39">
        <v>24.43</v>
      </c>
      <c r="F35" s="187">
        <v>3900</v>
      </c>
      <c r="G35" s="180">
        <f t="shared" si="27"/>
        <v>95277</v>
      </c>
      <c r="H35" s="48">
        <v>2</v>
      </c>
      <c r="I35" s="184">
        <v>14</v>
      </c>
      <c r="J35" s="43">
        <v>2400</v>
      </c>
      <c r="K35" s="18">
        <f t="shared" si="1"/>
        <v>171.42857142857142</v>
      </c>
      <c r="L35" s="184">
        <v>14</v>
      </c>
      <c r="M35" s="19">
        <f t="shared" si="28"/>
        <v>2294.1176470588243</v>
      </c>
      <c r="N35" s="18">
        <f t="shared" si="3"/>
        <v>163.86554621848745</v>
      </c>
      <c r="O35" s="20">
        <f t="shared" si="4"/>
        <v>0</v>
      </c>
      <c r="P35" s="21">
        <f t="shared" si="5"/>
        <v>-7.5630252100839641</v>
      </c>
      <c r="Q35" s="179">
        <f t="shared" si="6"/>
        <v>0.95588235294117685</v>
      </c>
      <c r="R35" s="573"/>
      <c r="S35" s="49">
        <v>0.18611111111111112</v>
      </c>
      <c r="T35" s="49">
        <v>0.25694444444444442</v>
      </c>
      <c r="U35" s="180">
        <f t="shared" ref="U35:U40" si="30">(S35-T34)*24*60</f>
        <v>30.000000000000014</v>
      </c>
      <c r="V35" s="185">
        <f t="shared" si="29"/>
        <v>101.99999999999996</v>
      </c>
      <c r="W35" s="180"/>
      <c r="X35" s="180"/>
      <c r="Y35" s="180"/>
      <c r="Z35" s="180"/>
      <c r="AA35" s="575"/>
      <c r="AB35" s="575"/>
      <c r="AC35" s="50"/>
      <c r="AD35" s="27"/>
      <c r="AE35" s="20">
        <f t="shared" si="8"/>
        <v>-105.88235294117567</v>
      </c>
      <c r="AF35" s="179">
        <f t="shared" si="9"/>
        <v>0.95588235294117685</v>
      </c>
      <c r="AG35" s="573"/>
    </row>
    <row r="36" spans="1:33">
      <c r="A36" s="593" t="s">
        <v>58</v>
      </c>
      <c r="B36" s="39" t="s">
        <v>94</v>
      </c>
      <c r="C36" s="574" t="s">
        <v>103</v>
      </c>
      <c r="D36" s="574"/>
      <c r="E36" s="39">
        <v>20.2</v>
      </c>
      <c r="F36" s="187">
        <v>1849</v>
      </c>
      <c r="G36" s="180">
        <f t="shared" si="27"/>
        <v>37349.799999999996</v>
      </c>
      <c r="H36" s="48" t="s">
        <v>126</v>
      </c>
      <c r="I36" s="184">
        <v>15</v>
      </c>
      <c r="J36" s="43">
        <v>2400</v>
      </c>
      <c r="K36" s="18">
        <f t="shared" si="1"/>
        <v>160</v>
      </c>
      <c r="L36" s="184">
        <v>15</v>
      </c>
      <c r="M36" s="19">
        <f t="shared" si="28"/>
        <v>2311.2500000000005</v>
      </c>
      <c r="N36" s="18">
        <f t="shared" si="3"/>
        <v>154.08333333333337</v>
      </c>
      <c r="O36" s="20">
        <f t="shared" si="4"/>
        <v>0</v>
      </c>
      <c r="P36" s="21">
        <f t="shared" si="5"/>
        <v>-5.9166666666666288</v>
      </c>
      <c r="Q36" s="179">
        <f t="shared" si="6"/>
        <v>0.96302083333333355</v>
      </c>
      <c r="R36" s="573"/>
      <c r="S36" s="49">
        <v>0.26111111111111107</v>
      </c>
      <c r="T36" s="49">
        <v>0.2944444444444444</v>
      </c>
      <c r="U36" s="180">
        <f t="shared" si="30"/>
        <v>5.9999999999999787</v>
      </c>
      <c r="V36" s="185">
        <f t="shared" si="29"/>
        <v>47.999999999999986</v>
      </c>
      <c r="W36" s="180"/>
      <c r="X36" s="180"/>
      <c r="Y36" s="180"/>
      <c r="Z36" s="180"/>
      <c r="AA36" s="575"/>
      <c r="AB36" s="575"/>
      <c r="AC36" s="50"/>
      <c r="AD36" s="27"/>
      <c r="AE36" s="20">
        <f t="shared" si="8"/>
        <v>-88.749999999999545</v>
      </c>
      <c r="AF36" s="179">
        <f t="shared" si="9"/>
        <v>0.96302083333333355</v>
      </c>
      <c r="AG36" s="573"/>
    </row>
    <row r="37" spans="1:33">
      <c r="A37" s="593" t="s">
        <v>408</v>
      </c>
      <c r="B37" s="39" t="s">
        <v>94</v>
      </c>
      <c r="C37" s="574" t="s">
        <v>102</v>
      </c>
      <c r="D37" s="574"/>
      <c r="E37" s="39">
        <v>34.1</v>
      </c>
      <c r="F37" s="187">
        <v>6041</v>
      </c>
      <c r="G37" s="180">
        <f t="shared" si="27"/>
        <v>205998.1</v>
      </c>
      <c r="H37" s="48" t="s">
        <v>126</v>
      </c>
      <c r="I37" s="184">
        <v>18</v>
      </c>
      <c r="J37" s="43">
        <v>1600</v>
      </c>
      <c r="K37" s="18">
        <f t="shared" si="1"/>
        <v>88.888888888888886</v>
      </c>
      <c r="L37" s="184">
        <v>18</v>
      </c>
      <c r="M37" s="19">
        <f t="shared" si="28"/>
        <v>1529.3670886075954</v>
      </c>
      <c r="N37" s="18">
        <f t="shared" si="3"/>
        <v>84.964838255977526</v>
      </c>
      <c r="O37" s="20">
        <f t="shared" si="4"/>
        <v>0</v>
      </c>
      <c r="P37" s="21">
        <f t="shared" si="5"/>
        <v>-3.92405063291136</v>
      </c>
      <c r="Q37" s="179">
        <f t="shared" si="6"/>
        <v>0.95585443037974716</v>
      </c>
      <c r="R37" s="573"/>
      <c r="S37" s="49">
        <v>0.29999999999999993</v>
      </c>
      <c r="T37" s="49">
        <v>0.46458333333333324</v>
      </c>
      <c r="U37" s="180">
        <f t="shared" si="30"/>
        <v>7.9999999999999716</v>
      </c>
      <c r="V37" s="185">
        <f t="shared" si="29"/>
        <v>236.99999999999994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8"/>
        <v>-70.632911392404594</v>
      </c>
      <c r="AF37" s="179">
        <f t="shared" si="9"/>
        <v>0.95585443037974716</v>
      </c>
      <c r="AG37" s="573"/>
    </row>
    <row r="38" spans="1:33">
      <c r="A38" s="593" t="s">
        <v>915</v>
      </c>
      <c r="B38" s="39" t="s">
        <v>94</v>
      </c>
      <c r="C38" s="574" t="s">
        <v>122</v>
      </c>
      <c r="D38" s="574"/>
      <c r="E38" s="39">
        <v>20.52</v>
      </c>
      <c r="F38" s="187">
        <v>2729</v>
      </c>
      <c r="G38" s="180">
        <f t="shared" si="27"/>
        <v>55999.08</v>
      </c>
      <c r="H38" s="48" t="s">
        <v>126</v>
      </c>
      <c r="I38" s="184">
        <v>18</v>
      </c>
      <c r="J38" s="43">
        <v>2400</v>
      </c>
      <c r="K38" s="18">
        <f t="shared" si="1"/>
        <v>133.33333333333334</v>
      </c>
      <c r="L38" s="184">
        <v>18</v>
      </c>
      <c r="M38" s="19">
        <f t="shared" si="28"/>
        <v>2306.1971830985894</v>
      </c>
      <c r="N38" s="18">
        <f t="shared" si="3"/>
        <v>128.12206572769941</v>
      </c>
      <c r="O38" s="20">
        <f t="shared" si="4"/>
        <v>0</v>
      </c>
      <c r="P38" s="21">
        <f t="shared" si="5"/>
        <v>-5.2112676056339353</v>
      </c>
      <c r="Q38" s="179">
        <f t="shared" si="6"/>
        <v>0.96091549295774548</v>
      </c>
      <c r="R38" s="573"/>
      <c r="S38" s="49">
        <v>0.47013888888888877</v>
      </c>
      <c r="T38" s="49">
        <v>0.51944444444444438</v>
      </c>
      <c r="U38" s="180">
        <f t="shared" si="30"/>
        <v>7.9999999999999716</v>
      </c>
      <c r="V38" s="185">
        <f t="shared" si="29"/>
        <v>71.000000000000071</v>
      </c>
      <c r="W38" s="25">
        <f>T38</f>
        <v>0.51944444444444438</v>
      </c>
      <c r="X38" s="25">
        <f>S39</f>
        <v>0.55902777777777768</v>
      </c>
      <c r="Y38" s="25"/>
      <c r="Z38" s="25"/>
      <c r="AA38" s="575"/>
      <c r="AB38" s="575"/>
      <c r="AC38" s="50"/>
      <c r="AD38" s="27"/>
      <c r="AE38" s="20">
        <f t="shared" si="8"/>
        <v>-93.802816901410552</v>
      </c>
      <c r="AF38" s="179">
        <f t="shared" si="9"/>
        <v>0.96091549295774559</v>
      </c>
      <c r="AG38" s="573"/>
    </row>
    <row r="39" spans="1:33">
      <c r="A39" s="593" t="s">
        <v>408</v>
      </c>
      <c r="B39" s="39" t="s">
        <v>94</v>
      </c>
      <c r="C39" s="574" t="s">
        <v>530</v>
      </c>
      <c r="D39" s="574"/>
      <c r="E39" s="39">
        <v>26.18</v>
      </c>
      <c r="F39" s="187">
        <v>3789</v>
      </c>
      <c r="G39" s="180">
        <f t="shared" si="27"/>
        <v>99196.02</v>
      </c>
      <c r="H39" s="48" t="s">
        <v>126</v>
      </c>
      <c r="I39" s="184">
        <v>21</v>
      </c>
      <c r="J39" s="43">
        <v>2400</v>
      </c>
      <c r="K39" s="18">
        <f t="shared" si="1"/>
        <v>114.28571428571429</v>
      </c>
      <c r="L39" s="184">
        <v>21</v>
      </c>
      <c r="M39" s="19">
        <f t="shared" si="28"/>
        <v>2296.3636363636369</v>
      </c>
      <c r="N39" s="18">
        <f t="shared" si="3"/>
        <v>109.35064935064938</v>
      </c>
      <c r="O39" s="20">
        <f t="shared" si="4"/>
        <v>0</v>
      </c>
      <c r="P39" s="21">
        <f t="shared" si="5"/>
        <v>-4.9350649350649149</v>
      </c>
      <c r="Q39" s="179">
        <f t="shared" si="6"/>
        <v>0.95681818181818201</v>
      </c>
      <c r="R39" s="573"/>
      <c r="S39" s="49">
        <v>0.55902777777777768</v>
      </c>
      <c r="T39" s="49">
        <v>0.62777777777777766</v>
      </c>
      <c r="U39" s="180">
        <f t="shared" si="30"/>
        <v>56.999999999999957</v>
      </c>
      <c r="V39" s="185">
        <f t="shared" si="29"/>
        <v>98.999999999999972</v>
      </c>
      <c r="W39" s="25"/>
      <c r="X39" s="25"/>
      <c r="Y39" s="25"/>
      <c r="Z39" s="25"/>
      <c r="AA39" s="575"/>
      <c r="AB39" s="575"/>
      <c r="AC39" s="50"/>
      <c r="AD39" s="27"/>
      <c r="AE39" s="20">
        <f t="shared" si="8"/>
        <v>-103.63636363636306</v>
      </c>
      <c r="AF39" s="179">
        <f t="shared" si="9"/>
        <v>0.95681818181818201</v>
      </c>
      <c r="AG39" s="573"/>
    </row>
    <row r="40" spans="1:33">
      <c r="A40" s="593" t="s">
        <v>916</v>
      </c>
      <c r="B40" s="39" t="s">
        <v>94</v>
      </c>
      <c r="C40" s="574" t="s">
        <v>100</v>
      </c>
      <c r="D40" s="574"/>
      <c r="E40" s="39">
        <v>24.43</v>
      </c>
      <c r="F40" s="187">
        <v>2822</v>
      </c>
      <c r="G40" s="180">
        <f t="shared" si="27"/>
        <v>68941.460000000006</v>
      </c>
      <c r="H40" s="48" t="s">
        <v>126</v>
      </c>
      <c r="I40" s="184">
        <v>14</v>
      </c>
      <c r="J40" s="43">
        <v>2400</v>
      </c>
      <c r="K40" s="18">
        <f t="shared" si="1"/>
        <v>171.42857142857142</v>
      </c>
      <c r="L40" s="184">
        <v>14</v>
      </c>
      <c r="M40" s="19">
        <f t="shared" si="28"/>
        <v>2288.1081081081065</v>
      </c>
      <c r="N40" s="18">
        <f t="shared" si="3"/>
        <v>163.43629343629331</v>
      </c>
      <c r="O40" s="20">
        <f t="shared" si="4"/>
        <v>0</v>
      </c>
      <c r="P40" s="21">
        <f t="shared" si="5"/>
        <v>-7.9922779922781046</v>
      </c>
      <c r="Q40" s="179">
        <f t="shared" si="6"/>
        <v>0.95337837837837769</v>
      </c>
      <c r="R40" s="573"/>
      <c r="S40" s="49">
        <v>0.63333333333333319</v>
      </c>
      <c r="T40" s="49">
        <v>0.68472222222222212</v>
      </c>
      <c r="U40" s="180">
        <f t="shared" si="30"/>
        <v>7.9999999999999716</v>
      </c>
      <c r="V40" s="185">
        <f t="shared" si="29"/>
        <v>74.000000000000057</v>
      </c>
      <c r="W40" s="25"/>
      <c r="X40" s="25"/>
      <c r="Y40" s="28"/>
      <c r="Z40" s="28"/>
      <c r="AA40" s="568"/>
      <c r="AB40" s="569"/>
      <c r="AC40" s="50"/>
      <c r="AD40" s="27"/>
      <c r="AE40" s="20">
        <f t="shared" si="8"/>
        <v>-111.89189189189347</v>
      </c>
      <c r="AF40" s="179">
        <f t="shared" si="9"/>
        <v>0.95337837837837769</v>
      </c>
      <c r="AG40" s="573"/>
    </row>
    <row r="41" spans="1:33">
      <c r="A41" s="593" t="s">
        <v>914</v>
      </c>
      <c r="B41" s="42" t="s">
        <v>46</v>
      </c>
      <c r="C41" s="576"/>
      <c r="D41" s="576"/>
      <c r="E41" s="181"/>
      <c r="F41" s="42"/>
      <c r="G41" s="18"/>
      <c r="H41" s="187"/>
      <c r="I41" s="32">
        <v>17.285714285714285</v>
      </c>
      <c r="J41" s="43">
        <v>2285.7142857142858</v>
      </c>
      <c r="K41" s="18">
        <f t="shared" si="1"/>
        <v>132.2314049586777</v>
      </c>
      <c r="L41" s="32">
        <v>17.285714285714285</v>
      </c>
      <c r="M41" s="19">
        <f>AVERAGE(M34:M40)</f>
        <v>2187.6484652081563</v>
      </c>
      <c r="N41" s="18">
        <f t="shared" si="3"/>
        <v>126.55817567319913</v>
      </c>
      <c r="O41" s="20">
        <f t="shared" si="4"/>
        <v>0</v>
      </c>
      <c r="P41" s="21">
        <f t="shared" si="5"/>
        <v>-5.6732292854785698</v>
      </c>
      <c r="Q41" s="179">
        <f t="shared" si="6"/>
        <v>0.95709620352856828</v>
      </c>
      <c r="R41" s="573"/>
      <c r="S41" s="49"/>
      <c r="T41" s="49"/>
      <c r="U41" s="18"/>
      <c r="V41" s="185"/>
      <c r="W41" s="18"/>
      <c r="X41" s="18"/>
      <c r="Y41" s="33">
        <f>SUM(Y34:Y40)</f>
        <v>0</v>
      </c>
      <c r="Z41" s="33">
        <f>SUM(Z34:Z40)</f>
        <v>0</v>
      </c>
      <c r="AA41" s="572"/>
      <c r="AB41" s="572"/>
      <c r="AC41" s="33">
        <v>7</v>
      </c>
      <c r="AD41" s="33">
        <f>SUM(AD34:AD40)</f>
        <v>0</v>
      </c>
      <c r="AE41" s="20">
        <f t="shared" si="8"/>
        <v>-98.065820506129512</v>
      </c>
      <c r="AF41" s="179">
        <f t="shared" si="9"/>
        <v>0.95709620352856839</v>
      </c>
      <c r="AG41" s="573"/>
    </row>
    <row r="42" spans="1:33" ht="15.75" customHeight="1">
      <c r="A42" s="589" t="s">
        <v>917</v>
      </c>
      <c r="B42" s="39" t="s">
        <v>104</v>
      </c>
      <c r="C42" s="566" t="s">
        <v>105</v>
      </c>
      <c r="D42" s="567"/>
      <c r="E42" s="39">
        <v>37.880000000000003</v>
      </c>
      <c r="F42" s="187">
        <v>2068</v>
      </c>
      <c r="G42" s="180">
        <f t="shared" ref="G42:G45" si="31">E42*F42</f>
        <v>78335.840000000011</v>
      </c>
      <c r="H42" s="48" t="s">
        <v>126</v>
      </c>
      <c r="I42" s="184">
        <v>13</v>
      </c>
      <c r="J42" s="43">
        <v>2000</v>
      </c>
      <c r="K42" s="18">
        <f t="shared" si="1"/>
        <v>153.84615384615384</v>
      </c>
      <c r="L42" s="184">
        <v>13</v>
      </c>
      <c r="M42" s="19">
        <f t="shared" ref="M42:M45" si="32">F42/V42*60</f>
        <v>1908.9230769230774</v>
      </c>
      <c r="N42" s="19">
        <f t="shared" si="3"/>
        <v>146.84023668639057</v>
      </c>
      <c r="O42" s="20">
        <f t="shared" si="4"/>
        <v>0</v>
      </c>
      <c r="P42" s="21">
        <f t="shared" si="5"/>
        <v>-7.0059171597632712</v>
      </c>
      <c r="Q42" s="179">
        <f t="shared" si="6"/>
        <v>0.95446153846153869</v>
      </c>
      <c r="R42" s="584">
        <f>Q46</f>
        <v>0.95578326557163773</v>
      </c>
      <c r="S42" s="49">
        <v>8.3333333333333329E-2</v>
      </c>
      <c r="T42" s="49">
        <v>0.12847222222222221</v>
      </c>
      <c r="U42" s="30"/>
      <c r="V42" s="185">
        <f t="shared" ref="V42:V45" si="33">(T42-S42)*24*60</f>
        <v>64.999999999999986</v>
      </c>
      <c r="W42" s="25">
        <f>T42</f>
        <v>0.12847222222222221</v>
      </c>
      <c r="X42" s="25">
        <f>S43</f>
        <v>0.14930555555555555</v>
      </c>
      <c r="Y42" s="28"/>
      <c r="Z42" s="28"/>
      <c r="AA42" s="568"/>
      <c r="AB42" s="569"/>
      <c r="AC42" s="50">
        <v>4</v>
      </c>
      <c r="AD42" s="27"/>
      <c r="AE42" s="20">
        <f t="shared" si="8"/>
        <v>-91.07692307692264</v>
      </c>
      <c r="AF42" s="179">
        <f t="shared" si="9"/>
        <v>0.95446153846153869</v>
      </c>
      <c r="AG42" s="584">
        <f>AF46</f>
        <v>0.95578326557163784</v>
      </c>
    </row>
    <row r="43" spans="1:33" ht="15.75" customHeight="1">
      <c r="A43" s="590" t="s">
        <v>918</v>
      </c>
      <c r="B43" s="39" t="s">
        <v>104</v>
      </c>
      <c r="C43" s="566" t="s">
        <v>106</v>
      </c>
      <c r="D43" s="567"/>
      <c r="E43" s="39">
        <v>35.119999999999997</v>
      </c>
      <c r="F43" s="187">
        <v>4965</v>
      </c>
      <c r="G43" s="180">
        <f t="shared" si="31"/>
        <v>174370.8</v>
      </c>
      <c r="H43" s="48" t="s">
        <v>126</v>
      </c>
      <c r="I43" s="184">
        <v>10</v>
      </c>
      <c r="J43" s="43">
        <v>3000</v>
      </c>
      <c r="K43" s="18">
        <f t="shared" si="1"/>
        <v>300</v>
      </c>
      <c r="L43" s="184">
        <v>10</v>
      </c>
      <c r="M43" s="19">
        <f t="shared" si="32"/>
        <v>2864.4230769230771</v>
      </c>
      <c r="N43" s="19">
        <f t="shared" si="3"/>
        <v>286.44230769230774</v>
      </c>
      <c r="O43" s="20">
        <f t="shared" si="4"/>
        <v>0</v>
      </c>
      <c r="P43" s="21">
        <f t="shared" si="5"/>
        <v>-13.557692307692264</v>
      </c>
      <c r="Q43" s="179">
        <f t="shared" si="6"/>
        <v>0.95480769230769247</v>
      </c>
      <c r="R43" s="585"/>
      <c r="S43" s="49">
        <v>0.14930555555555555</v>
      </c>
      <c r="T43" s="49">
        <v>0.22152777777777777</v>
      </c>
      <c r="U43" s="180">
        <f t="shared" ref="U43:U45" si="34">(S43-T42)*24*60</f>
        <v>30.000000000000014</v>
      </c>
      <c r="V43" s="185">
        <f t="shared" si="33"/>
        <v>103.99999999999999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-135.57692307692287</v>
      </c>
      <c r="AF43" s="179">
        <f t="shared" si="9"/>
        <v>0.95480769230769236</v>
      </c>
      <c r="AG43" s="585"/>
    </row>
    <row r="44" spans="1:33" ht="15.75" customHeight="1">
      <c r="A44" s="590" t="s">
        <v>917</v>
      </c>
      <c r="B44" s="39" t="s">
        <v>104</v>
      </c>
      <c r="C44" s="566" t="s">
        <v>107</v>
      </c>
      <c r="D44" s="567"/>
      <c r="E44" s="39">
        <v>21.13</v>
      </c>
      <c r="F44" s="187">
        <v>4802</v>
      </c>
      <c r="G44" s="180">
        <f t="shared" si="31"/>
        <v>101466.26</v>
      </c>
      <c r="H44" s="48" t="s">
        <v>126</v>
      </c>
      <c r="I44" s="184">
        <v>10</v>
      </c>
      <c r="J44" s="43">
        <v>3000</v>
      </c>
      <c r="K44" s="18">
        <f t="shared" si="1"/>
        <v>300</v>
      </c>
      <c r="L44" s="184">
        <v>10</v>
      </c>
      <c r="M44" s="19">
        <f t="shared" si="32"/>
        <v>2881.2000000000003</v>
      </c>
      <c r="N44" s="19">
        <f t="shared" si="3"/>
        <v>288.12</v>
      </c>
      <c r="O44" s="20">
        <f t="shared" si="4"/>
        <v>0</v>
      </c>
      <c r="P44" s="21">
        <f t="shared" si="5"/>
        <v>-11.879999999999995</v>
      </c>
      <c r="Q44" s="179">
        <f t="shared" si="6"/>
        <v>0.96040000000000003</v>
      </c>
      <c r="R44" s="585"/>
      <c r="S44" s="49">
        <v>0.22569444444444445</v>
      </c>
      <c r="T44" s="49">
        <v>0.2951388888888889</v>
      </c>
      <c r="U44" s="180">
        <f t="shared" si="34"/>
        <v>6.0000000000000187</v>
      </c>
      <c r="V44" s="185">
        <f t="shared" si="33"/>
        <v>100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-118.79999999999973</v>
      </c>
      <c r="AF44" s="179">
        <f t="shared" si="9"/>
        <v>0.96040000000000014</v>
      </c>
      <c r="AG44" s="585"/>
    </row>
    <row r="45" spans="1:33" ht="15.75" customHeight="1">
      <c r="A45" s="590" t="s">
        <v>918</v>
      </c>
      <c r="B45" s="39" t="s">
        <v>104</v>
      </c>
      <c r="C45" s="566" t="s">
        <v>108</v>
      </c>
      <c r="D45" s="567"/>
      <c r="E45" s="39">
        <v>27.17</v>
      </c>
      <c r="F45" s="187">
        <v>6147</v>
      </c>
      <c r="G45" s="180">
        <f t="shared" si="31"/>
        <v>167013.99000000002</v>
      </c>
      <c r="H45" s="48" t="s">
        <v>126</v>
      </c>
      <c r="I45" s="184">
        <v>10</v>
      </c>
      <c r="J45" s="43">
        <v>3000</v>
      </c>
      <c r="K45" s="18">
        <f t="shared" si="1"/>
        <v>300</v>
      </c>
      <c r="L45" s="184">
        <v>10</v>
      </c>
      <c r="M45" s="19">
        <f t="shared" si="32"/>
        <v>2859.0697674418598</v>
      </c>
      <c r="N45" s="19">
        <f t="shared" si="3"/>
        <v>285.90697674418595</v>
      </c>
      <c r="O45" s="20">
        <f t="shared" si="4"/>
        <v>0</v>
      </c>
      <c r="P45" s="21">
        <f t="shared" si="5"/>
        <v>-14.093023255814046</v>
      </c>
      <c r="Q45" s="179">
        <f t="shared" si="6"/>
        <v>0.9530232558139532</v>
      </c>
      <c r="R45" s="585"/>
      <c r="S45" s="49">
        <v>0.30069444444444443</v>
      </c>
      <c r="T45" s="49">
        <v>0.39027777777777778</v>
      </c>
      <c r="U45" s="180">
        <f t="shared" si="34"/>
        <v>7.9999999999999716</v>
      </c>
      <c r="V45" s="185">
        <f t="shared" si="33"/>
        <v>129.00000000000003</v>
      </c>
      <c r="W45" s="25"/>
      <c r="X45" s="25"/>
      <c r="Y45" s="28"/>
      <c r="Z45" s="28"/>
      <c r="AA45" s="568"/>
      <c r="AB45" s="569"/>
      <c r="AC45" s="50"/>
      <c r="AD45" s="27"/>
      <c r="AE45" s="20">
        <f t="shared" si="8"/>
        <v>-140.93023255814023</v>
      </c>
      <c r="AF45" s="179">
        <f t="shared" si="9"/>
        <v>0.95302325581395331</v>
      </c>
      <c r="AG45" s="585"/>
    </row>
    <row r="46" spans="1:33" ht="15.75" customHeight="1">
      <c r="A46" s="591" t="s">
        <v>918</v>
      </c>
      <c r="B46" s="39" t="s">
        <v>919</v>
      </c>
      <c r="C46" s="570"/>
      <c r="D46" s="571"/>
      <c r="E46" s="177"/>
      <c r="F46" s="187"/>
      <c r="G46" s="180"/>
      <c r="H46" s="187"/>
      <c r="I46" s="32">
        <v>10.75</v>
      </c>
      <c r="J46" s="43">
        <v>2750</v>
      </c>
      <c r="K46" s="18">
        <f t="shared" si="1"/>
        <v>255.81395348837211</v>
      </c>
      <c r="L46" s="32">
        <v>10.75</v>
      </c>
      <c r="M46" s="19">
        <f>AVERAGE(M42:M45)</f>
        <v>2628.4039803220039</v>
      </c>
      <c r="N46" s="18">
        <f t="shared" si="3"/>
        <v>244.50269584390733</v>
      </c>
      <c r="O46" s="20">
        <f t="shared" si="4"/>
        <v>0</v>
      </c>
      <c r="P46" s="21">
        <f t="shared" si="5"/>
        <v>-11.311257644464774</v>
      </c>
      <c r="Q46" s="179">
        <f t="shared" si="6"/>
        <v>0.95578326557163773</v>
      </c>
      <c r="R46" s="586"/>
      <c r="S46" s="49"/>
      <c r="T46" s="49"/>
      <c r="U46" s="180"/>
      <c r="V46" s="185"/>
      <c r="W46" s="25"/>
      <c r="X46" s="25"/>
      <c r="Y46" s="33">
        <f>SUM(Y42:Y45)</f>
        <v>0</v>
      </c>
      <c r="Z46" s="33">
        <f>SUM(Z42:Z45)</f>
        <v>0</v>
      </c>
      <c r="AA46" s="587"/>
      <c r="AB46" s="588"/>
      <c r="AC46" s="33">
        <v>4</v>
      </c>
      <c r="AD46" s="33">
        <f>SUM(AD42:AD45)</f>
        <v>0</v>
      </c>
      <c r="AE46" s="20">
        <f t="shared" si="8"/>
        <v>-121.59601967799608</v>
      </c>
      <c r="AF46" s="179">
        <f t="shared" si="9"/>
        <v>0.95578326557163784</v>
      </c>
      <c r="AG46" s="586"/>
    </row>
    <row r="47" spans="1:33" ht="15.75" customHeight="1">
      <c r="A47" s="582" t="s">
        <v>62</v>
      </c>
      <c r="B47" s="39" t="s">
        <v>79</v>
      </c>
      <c r="C47" s="574" t="s">
        <v>109</v>
      </c>
      <c r="D47" s="574"/>
      <c r="E47" s="39">
        <v>46</v>
      </c>
      <c r="F47" s="45">
        <v>2302</v>
      </c>
      <c r="G47" s="180">
        <f t="shared" ref="G47:G53" si="35">E47*F47</f>
        <v>105892</v>
      </c>
      <c r="H47" s="48" t="s">
        <v>126</v>
      </c>
      <c r="I47" s="184">
        <v>16</v>
      </c>
      <c r="J47" s="43">
        <v>2000</v>
      </c>
      <c r="K47" s="18">
        <f t="shared" si="1"/>
        <v>125</v>
      </c>
      <c r="L47" s="184">
        <v>16</v>
      </c>
      <c r="M47" s="19">
        <f t="shared" ref="M47" si="36">F47/V47*60</f>
        <v>1918.3333333333326</v>
      </c>
      <c r="N47" s="19">
        <f t="shared" si="3"/>
        <v>119.89583333333329</v>
      </c>
      <c r="O47" s="20">
        <f t="shared" si="4"/>
        <v>0</v>
      </c>
      <c r="P47" s="21">
        <f t="shared" si="5"/>
        <v>-5.104166666666714</v>
      </c>
      <c r="Q47" s="179">
        <f t="shared" si="6"/>
        <v>0.95916666666666628</v>
      </c>
      <c r="R47" s="573">
        <f>Q54</f>
        <v>0.96387054983562914</v>
      </c>
      <c r="S47" s="49">
        <v>0.20833333333333334</v>
      </c>
      <c r="T47" s="49">
        <v>0.25833333333333336</v>
      </c>
      <c r="U47" s="30"/>
      <c r="V47" s="185">
        <f t="shared" ref="V47:V53" si="37">(T47-S47)*24*60</f>
        <v>72.000000000000028</v>
      </c>
      <c r="W47" s="30"/>
      <c r="X47" s="30"/>
      <c r="Y47" s="30"/>
      <c r="Z47" s="30"/>
      <c r="AA47" s="575"/>
      <c r="AB47" s="575"/>
      <c r="AC47" s="50">
        <v>7</v>
      </c>
      <c r="AD47" s="27"/>
      <c r="AE47" s="20">
        <f t="shared" si="8"/>
        <v>-81.666666666667425</v>
      </c>
      <c r="AF47" s="179">
        <f t="shared" si="9"/>
        <v>0.95916666666666628</v>
      </c>
      <c r="AG47" s="573">
        <f>AF54</f>
        <v>0.96387054983562914</v>
      </c>
    </row>
    <row r="48" spans="1:33" ht="15.75" customHeight="1">
      <c r="A48" s="582" t="s">
        <v>62</v>
      </c>
      <c r="B48" s="39" t="s">
        <v>74</v>
      </c>
      <c r="C48" s="574" t="s">
        <v>110</v>
      </c>
      <c r="D48" s="574"/>
      <c r="E48" s="39">
        <v>56.43</v>
      </c>
      <c r="F48" s="45">
        <v>1295</v>
      </c>
      <c r="G48" s="180">
        <f t="shared" si="35"/>
        <v>73076.850000000006</v>
      </c>
      <c r="H48" s="48" t="s">
        <v>126</v>
      </c>
      <c r="I48" s="184">
        <v>22</v>
      </c>
      <c r="J48" s="43">
        <v>2000</v>
      </c>
      <c r="K48" s="18">
        <f t="shared" si="1"/>
        <v>90.909090909090907</v>
      </c>
      <c r="L48" s="184">
        <v>22</v>
      </c>
      <c r="M48" s="19">
        <f>F48/V48*60</f>
        <v>1942.4999999999991</v>
      </c>
      <c r="N48" s="19">
        <f t="shared" si="3"/>
        <v>88.295454545454504</v>
      </c>
      <c r="O48" s="20">
        <f t="shared" si="4"/>
        <v>0</v>
      </c>
      <c r="P48" s="21">
        <f t="shared" si="5"/>
        <v>-2.6136363636364024</v>
      </c>
      <c r="Q48" s="179">
        <f t="shared" si="6"/>
        <v>0.97124999999999961</v>
      </c>
      <c r="R48" s="573"/>
      <c r="S48" s="49">
        <v>0.26250000000000001</v>
      </c>
      <c r="T48" s="49">
        <v>0.2902777777777778</v>
      </c>
      <c r="U48" s="180">
        <f t="shared" ref="U48:U53" si="38">IF(S48=TIME(17,0,0),"",(S48-T47)*24*60)</f>
        <v>5.9999999999999787</v>
      </c>
      <c r="V48" s="185">
        <f t="shared" si="37"/>
        <v>40.000000000000014</v>
      </c>
      <c r="W48" s="25"/>
      <c r="X48" s="25"/>
      <c r="Y48" s="25"/>
      <c r="Z48" s="25"/>
      <c r="AA48" s="575"/>
      <c r="AB48" s="575"/>
      <c r="AC48" s="50"/>
      <c r="AD48" s="27"/>
      <c r="AE48" s="20">
        <f t="shared" si="8"/>
        <v>-57.500000000000909</v>
      </c>
      <c r="AF48" s="179">
        <f t="shared" si="9"/>
        <v>0.9712499999999995</v>
      </c>
      <c r="AG48" s="573"/>
    </row>
    <row r="49" spans="1:33" ht="15.75" customHeight="1">
      <c r="A49" s="582" t="s">
        <v>920</v>
      </c>
      <c r="B49" s="39" t="s">
        <v>74</v>
      </c>
      <c r="C49" s="566" t="s">
        <v>111</v>
      </c>
      <c r="D49" s="567"/>
      <c r="E49" s="39">
        <v>51.75</v>
      </c>
      <c r="F49" s="45">
        <v>869</v>
      </c>
      <c r="G49" s="180">
        <f t="shared" si="35"/>
        <v>44970.75</v>
      </c>
      <c r="H49" s="48" t="s">
        <v>126</v>
      </c>
      <c r="I49" s="184">
        <v>25</v>
      </c>
      <c r="J49" s="43">
        <v>2000</v>
      </c>
      <c r="K49" s="18">
        <f t="shared" si="1"/>
        <v>80</v>
      </c>
      <c r="L49" s="184">
        <v>25</v>
      </c>
      <c r="M49" s="19">
        <f t="shared" ref="M49:M53" si="39">F49/V49*60</f>
        <v>1931.1111111111122</v>
      </c>
      <c r="N49" s="19">
        <f t="shared" si="3"/>
        <v>77.244444444444483</v>
      </c>
      <c r="O49" s="20">
        <f t="shared" si="4"/>
        <v>0</v>
      </c>
      <c r="P49" s="21">
        <f t="shared" si="5"/>
        <v>-2.7555555555555173</v>
      </c>
      <c r="Q49" s="179">
        <f t="shared" si="6"/>
        <v>0.96555555555555606</v>
      </c>
      <c r="R49" s="573"/>
      <c r="S49" s="49">
        <v>0.2951388888888889</v>
      </c>
      <c r="T49" s="49">
        <v>0.31388888888888888</v>
      </c>
      <c r="U49" s="180">
        <f t="shared" si="38"/>
        <v>6.9999999999999751</v>
      </c>
      <c r="V49" s="185">
        <f t="shared" si="37"/>
        <v>26.999999999999986</v>
      </c>
      <c r="W49" s="25"/>
      <c r="X49" s="25"/>
      <c r="Y49" s="28"/>
      <c r="Z49" s="28"/>
      <c r="AA49" s="575"/>
      <c r="AB49" s="575"/>
      <c r="AC49" s="50"/>
      <c r="AD49" s="27"/>
      <c r="AE49" s="20">
        <f t="shared" si="8"/>
        <v>-68.888888888887777</v>
      </c>
      <c r="AF49" s="179">
        <f t="shared" si="9"/>
        <v>0.96555555555555617</v>
      </c>
      <c r="AG49" s="573"/>
    </row>
    <row r="50" spans="1:33" ht="15.75" customHeight="1">
      <c r="A50" s="582" t="s">
        <v>921</v>
      </c>
      <c r="B50" s="39" t="s">
        <v>74</v>
      </c>
      <c r="C50" s="182" t="s">
        <v>88</v>
      </c>
      <c r="D50" s="183"/>
      <c r="E50" s="39">
        <v>59.04</v>
      </c>
      <c r="F50" s="45">
        <v>3290</v>
      </c>
      <c r="G50" s="180">
        <f t="shared" si="35"/>
        <v>194241.6</v>
      </c>
      <c r="H50" s="48" t="s">
        <v>126</v>
      </c>
      <c r="I50" s="184">
        <v>19</v>
      </c>
      <c r="J50" s="43">
        <v>2000</v>
      </c>
      <c r="K50" s="18">
        <f t="shared" si="1"/>
        <v>105.26315789473684</v>
      </c>
      <c r="L50" s="184">
        <v>19</v>
      </c>
      <c r="M50" s="19">
        <f t="shared" si="39"/>
        <v>1916.5048543689329</v>
      </c>
      <c r="N50" s="19">
        <f t="shared" si="3"/>
        <v>100.86867654573331</v>
      </c>
      <c r="O50" s="20">
        <f t="shared" si="4"/>
        <v>0</v>
      </c>
      <c r="P50" s="21">
        <f t="shared" si="5"/>
        <v>-4.3944813490035273</v>
      </c>
      <c r="Q50" s="179">
        <f t="shared" si="6"/>
        <v>0.95825242718446646</v>
      </c>
      <c r="R50" s="573"/>
      <c r="S50" s="49">
        <v>0.31736111111111109</v>
      </c>
      <c r="T50" s="49">
        <v>0.38888888888888884</v>
      </c>
      <c r="U50" s="180">
        <f t="shared" si="38"/>
        <v>4.9999999999999822</v>
      </c>
      <c r="V50" s="185">
        <f t="shared" si="37"/>
        <v>102.99999999999996</v>
      </c>
      <c r="W50" s="25"/>
      <c r="X50" s="25"/>
      <c r="Y50" s="28"/>
      <c r="Z50" s="28"/>
      <c r="AA50" s="575"/>
      <c r="AB50" s="575"/>
      <c r="AC50" s="50"/>
      <c r="AD50" s="27"/>
      <c r="AE50" s="20">
        <f t="shared" si="8"/>
        <v>-83.495145631067089</v>
      </c>
      <c r="AF50" s="179">
        <f t="shared" si="9"/>
        <v>0.95825242718446646</v>
      </c>
      <c r="AG50" s="573"/>
    </row>
    <row r="51" spans="1:33" ht="15.75" customHeight="1">
      <c r="A51" s="582" t="s">
        <v>921</v>
      </c>
      <c r="B51" s="39" t="s">
        <v>74</v>
      </c>
      <c r="C51" s="182" t="s">
        <v>112</v>
      </c>
      <c r="D51" s="183"/>
      <c r="E51" s="39">
        <v>55.32</v>
      </c>
      <c r="F51" s="45">
        <v>1394</v>
      </c>
      <c r="G51" s="180">
        <f t="shared" si="35"/>
        <v>77116.08</v>
      </c>
      <c r="H51" s="48" t="s">
        <v>126</v>
      </c>
      <c r="I51" s="184">
        <v>15</v>
      </c>
      <c r="J51" s="43">
        <v>2000</v>
      </c>
      <c r="K51" s="18">
        <f t="shared" si="1"/>
        <v>133.33333333333334</v>
      </c>
      <c r="L51" s="184">
        <v>15</v>
      </c>
      <c r="M51" s="19">
        <f t="shared" si="39"/>
        <v>1945.1162790697672</v>
      </c>
      <c r="N51" s="19">
        <f t="shared" si="3"/>
        <v>129.67441860465115</v>
      </c>
      <c r="O51" s="20">
        <f t="shared" si="4"/>
        <v>0</v>
      </c>
      <c r="P51" s="21">
        <f t="shared" si="5"/>
        <v>-3.6589147286821913</v>
      </c>
      <c r="Q51" s="179">
        <f t="shared" si="6"/>
        <v>0.97255813953488357</v>
      </c>
      <c r="R51" s="573"/>
      <c r="S51" s="49">
        <v>0.70833333333333337</v>
      </c>
      <c r="T51" s="49">
        <v>0.73819444444444449</v>
      </c>
      <c r="U51" s="180" t="str">
        <f t="shared" si="38"/>
        <v/>
      </c>
      <c r="V51" s="185">
        <f t="shared" si="37"/>
        <v>43.000000000000007</v>
      </c>
      <c r="W51" s="25"/>
      <c r="X51" s="25"/>
      <c r="Y51" s="28"/>
      <c r="Z51" s="28"/>
      <c r="AA51" s="575"/>
      <c r="AB51" s="575"/>
      <c r="AC51" s="50"/>
      <c r="AD51" s="27"/>
      <c r="AE51" s="20">
        <f t="shared" si="8"/>
        <v>-54.883720930232812</v>
      </c>
      <c r="AF51" s="179">
        <f t="shared" si="9"/>
        <v>0.97255813953488357</v>
      </c>
      <c r="AG51" s="573"/>
    </row>
    <row r="52" spans="1:33" ht="15.75" customHeight="1">
      <c r="A52" s="582" t="s">
        <v>921</v>
      </c>
      <c r="B52" s="39" t="s">
        <v>74</v>
      </c>
      <c r="C52" s="566" t="s">
        <v>113</v>
      </c>
      <c r="D52" s="567"/>
      <c r="E52" s="39">
        <v>55.56</v>
      </c>
      <c r="F52" s="45">
        <v>1978</v>
      </c>
      <c r="G52" s="180">
        <f t="shared" si="35"/>
        <v>109897.68000000001</v>
      </c>
      <c r="H52" s="48" t="s">
        <v>126</v>
      </c>
      <c r="I52" s="184">
        <v>17</v>
      </c>
      <c r="J52" s="43">
        <v>2000</v>
      </c>
      <c r="K52" s="18">
        <f t="shared" si="1"/>
        <v>117.64705882352941</v>
      </c>
      <c r="L52" s="184">
        <v>17</v>
      </c>
      <c r="M52" s="19">
        <f t="shared" si="39"/>
        <v>1914.1935483870984</v>
      </c>
      <c r="N52" s="19">
        <f t="shared" si="3"/>
        <v>112.59962049335873</v>
      </c>
      <c r="O52" s="20">
        <f t="shared" si="4"/>
        <v>0</v>
      </c>
      <c r="P52" s="21">
        <f t="shared" si="5"/>
        <v>-5.047438330170678</v>
      </c>
      <c r="Q52" s="179">
        <f t="shared" si="6"/>
        <v>0.95709677419354922</v>
      </c>
      <c r="R52" s="573"/>
      <c r="S52" s="49">
        <v>0.74305555555555558</v>
      </c>
      <c r="T52" s="49">
        <v>0.78611111111111109</v>
      </c>
      <c r="U52" s="180">
        <f t="shared" si="38"/>
        <v>6.9999999999999751</v>
      </c>
      <c r="V52" s="185">
        <f t="shared" si="37"/>
        <v>61.999999999999943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-85.806451612901583</v>
      </c>
      <c r="AF52" s="179">
        <f t="shared" si="9"/>
        <v>0.95709677419354922</v>
      </c>
      <c r="AG52" s="573"/>
    </row>
    <row r="53" spans="1:33" ht="15.75" customHeight="1">
      <c r="A53" s="582" t="s">
        <v>921</v>
      </c>
      <c r="B53" s="39" t="s">
        <v>74</v>
      </c>
      <c r="C53" s="566" t="s">
        <v>114</v>
      </c>
      <c r="D53" s="567"/>
      <c r="E53" s="39">
        <v>54.29</v>
      </c>
      <c r="F53" s="45">
        <v>899</v>
      </c>
      <c r="G53" s="180">
        <f t="shared" si="35"/>
        <v>48806.71</v>
      </c>
      <c r="H53" s="48" t="s">
        <v>126</v>
      </c>
      <c r="I53" s="184">
        <v>20</v>
      </c>
      <c r="J53" s="43">
        <v>2000</v>
      </c>
      <c r="K53" s="18">
        <f t="shared" si="1"/>
        <v>100</v>
      </c>
      <c r="L53" s="184">
        <v>20</v>
      </c>
      <c r="M53" s="19">
        <f t="shared" si="39"/>
        <v>1926.4285714285675</v>
      </c>
      <c r="N53" s="19">
        <f t="shared" si="3"/>
        <v>96.32142857142837</v>
      </c>
      <c r="O53" s="20">
        <f t="shared" si="4"/>
        <v>0</v>
      </c>
      <c r="P53" s="21">
        <f t="shared" si="5"/>
        <v>-3.6785714285716296</v>
      </c>
      <c r="Q53" s="179">
        <f t="shared" si="6"/>
        <v>0.96321428571428369</v>
      </c>
      <c r="R53" s="573"/>
      <c r="S53" s="49">
        <v>0.79027777777777775</v>
      </c>
      <c r="T53" s="49">
        <v>0.80972222222222223</v>
      </c>
      <c r="U53" s="180">
        <f t="shared" si="38"/>
        <v>5.9999999999999787</v>
      </c>
      <c r="V53" s="185">
        <f t="shared" si="37"/>
        <v>28.00000000000006</v>
      </c>
      <c r="W53" s="25"/>
      <c r="X53" s="25"/>
      <c r="Y53" s="28"/>
      <c r="Z53" s="28"/>
      <c r="AA53" s="568"/>
      <c r="AB53" s="569"/>
      <c r="AC53" s="50"/>
      <c r="AD53" s="27"/>
      <c r="AE53" s="20">
        <f t="shared" si="8"/>
        <v>-73.571428571432534</v>
      </c>
      <c r="AF53" s="179">
        <f t="shared" si="9"/>
        <v>0.96321428571428369</v>
      </c>
      <c r="AG53" s="573"/>
    </row>
    <row r="54" spans="1:33">
      <c r="A54" s="583" t="s">
        <v>921</v>
      </c>
      <c r="B54" s="39" t="s">
        <v>922</v>
      </c>
      <c r="C54" s="576"/>
      <c r="D54" s="576"/>
      <c r="E54" s="181"/>
      <c r="F54" s="42"/>
      <c r="G54" s="18"/>
      <c r="H54" s="187"/>
      <c r="I54" s="32">
        <v>19.142857142857142</v>
      </c>
      <c r="J54" s="43">
        <v>2000</v>
      </c>
      <c r="K54" s="18">
        <f t="shared" si="1"/>
        <v>104.47761194029852</v>
      </c>
      <c r="L54" s="32">
        <v>19.142857142857142</v>
      </c>
      <c r="M54" s="19">
        <f>AVERAGE(M47:M53)</f>
        <v>1927.7410996712583</v>
      </c>
      <c r="N54" s="18">
        <f t="shared" si="3"/>
        <v>100.70289326640902</v>
      </c>
      <c r="O54" s="20">
        <f t="shared" si="4"/>
        <v>0</v>
      </c>
      <c r="P54" s="21">
        <f t="shared" si="5"/>
        <v>-3.7747186738894953</v>
      </c>
      <c r="Q54" s="179">
        <f t="shared" si="6"/>
        <v>0.96387054983562914</v>
      </c>
      <c r="R54" s="573"/>
      <c r="S54" s="49"/>
      <c r="T54" s="49"/>
      <c r="U54" s="180"/>
      <c r="V54" s="185"/>
      <c r="W54" s="18"/>
      <c r="X54" s="18"/>
      <c r="Y54" s="33">
        <f>SUM(Y47:Y53)</f>
        <v>0</v>
      </c>
      <c r="Z54" s="33">
        <f>SUM(Z47:Z53)</f>
        <v>0</v>
      </c>
      <c r="AA54" s="572"/>
      <c r="AB54" s="572"/>
      <c r="AC54" s="33">
        <v>7</v>
      </c>
      <c r="AD54" s="33">
        <f>SUM(AD47:AD53)</f>
        <v>0</v>
      </c>
      <c r="AE54" s="20">
        <f>M54-J54</f>
        <v>-72.258900328741674</v>
      </c>
      <c r="AF54" s="179">
        <f t="shared" si="9"/>
        <v>0.96387054983562914</v>
      </c>
      <c r="AG54" s="573"/>
    </row>
    <row r="55" spans="1:33" ht="15.75" customHeight="1">
      <c r="A55" s="580" t="s">
        <v>923</v>
      </c>
      <c r="B55" s="187" t="s">
        <v>104</v>
      </c>
      <c r="C55" s="574" t="s">
        <v>115</v>
      </c>
      <c r="D55" s="574"/>
      <c r="E55" s="39">
        <v>34.36</v>
      </c>
      <c r="F55" s="45">
        <v>2133</v>
      </c>
      <c r="G55" s="180">
        <f t="shared" ref="G55:G60" si="40">E55*F55</f>
        <v>73289.88</v>
      </c>
      <c r="H55" s="48" t="s">
        <v>126</v>
      </c>
      <c r="I55" s="184">
        <v>10</v>
      </c>
      <c r="J55" s="43">
        <v>3000</v>
      </c>
      <c r="K55" s="18">
        <f t="shared" si="1"/>
        <v>300</v>
      </c>
      <c r="L55" s="184">
        <v>10</v>
      </c>
      <c r="M55" s="19">
        <f t="shared" ref="M55:M60" si="41">F55/V55*60</f>
        <v>2908.6363636363635</v>
      </c>
      <c r="N55" s="18">
        <f t="shared" si="3"/>
        <v>290.86363636363637</v>
      </c>
      <c r="O55" s="20">
        <f t="shared" si="4"/>
        <v>0</v>
      </c>
      <c r="P55" s="21">
        <f t="shared" si="5"/>
        <v>-9.136363636363626</v>
      </c>
      <c r="Q55" s="179">
        <f t="shared" si="6"/>
        <v>0.9695454545454546</v>
      </c>
      <c r="R55" s="573">
        <f>Q61</f>
        <v>0.96699595157928486</v>
      </c>
      <c r="S55" s="49">
        <v>0.20833333333333334</v>
      </c>
      <c r="T55" s="49">
        <v>0.2388888888888889</v>
      </c>
      <c r="U55" s="180"/>
      <c r="V55" s="185">
        <f t="shared" ref="V55:V60" si="42">(T55-S55)*24*60</f>
        <v>44</v>
      </c>
      <c r="W55" s="30"/>
      <c r="X55" s="30"/>
      <c r="Y55" s="30"/>
      <c r="Z55" s="30"/>
      <c r="AA55" s="575"/>
      <c r="AB55" s="575"/>
      <c r="AC55" s="50">
        <v>6</v>
      </c>
      <c r="AD55" s="27"/>
      <c r="AE55" s="20">
        <f t="shared" ref="AE55:AE68" si="43">M55-J55</f>
        <v>-91.363636363636488</v>
      </c>
      <c r="AF55" s="179">
        <f t="shared" si="9"/>
        <v>0.96954545454545449</v>
      </c>
      <c r="AG55" s="573">
        <f>AF61</f>
        <v>0.96699595157928475</v>
      </c>
    </row>
    <row r="56" spans="1:33" ht="15.75" customHeight="1">
      <c r="A56" s="580" t="s">
        <v>924</v>
      </c>
      <c r="B56" s="187" t="s">
        <v>104</v>
      </c>
      <c r="C56" s="574" t="s">
        <v>116</v>
      </c>
      <c r="D56" s="574"/>
      <c r="E56" s="39">
        <v>34.36</v>
      </c>
      <c r="F56" s="45">
        <v>1079</v>
      </c>
      <c r="G56" s="180">
        <f t="shared" si="40"/>
        <v>37074.44</v>
      </c>
      <c r="H56" s="48" t="s">
        <v>126</v>
      </c>
      <c r="I56" s="184">
        <v>10</v>
      </c>
      <c r="J56" s="43">
        <v>3000</v>
      </c>
      <c r="K56" s="18">
        <f t="shared" si="1"/>
        <v>300</v>
      </c>
      <c r="L56" s="184">
        <v>10</v>
      </c>
      <c r="M56" s="19">
        <f t="shared" si="41"/>
        <v>2942.727272727273</v>
      </c>
      <c r="N56" s="18">
        <f t="shared" si="3"/>
        <v>294.27272727272731</v>
      </c>
      <c r="O56" s="20">
        <f t="shared" si="4"/>
        <v>0</v>
      </c>
      <c r="P56" s="21">
        <f t="shared" si="5"/>
        <v>-5.7272727272726911</v>
      </c>
      <c r="Q56" s="179">
        <f t="shared" si="6"/>
        <v>0.98090909090909106</v>
      </c>
      <c r="R56" s="573"/>
      <c r="S56" s="49">
        <v>0.24375000000000002</v>
      </c>
      <c r="T56" s="49">
        <v>0.2590277777777778</v>
      </c>
      <c r="U56" s="180">
        <f t="shared" ref="U56:U60" si="44">(S56-T55)*24*60</f>
        <v>7.0000000000000151</v>
      </c>
      <c r="V56" s="185">
        <f t="shared" si="42"/>
        <v>22</v>
      </c>
      <c r="W56" s="180"/>
      <c r="X56" s="180"/>
      <c r="Y56" s="180"/>
      <c r="Z56" s="180"/>
      <c r="AA56" s="575"/>
      <c r="AB56" s="575"/>
      <c r="AC56" s="50"/>
      <c r="AD56" s="27"/>
      <c r="AE56" s="20">
        <f t="shared" si="43"/>
        <v>-57.272727272727025</v>
      </c>
      <c r="AF56" s="179">
        <f t="shared" si="9"/>
        <v>0.98090909090909095</v>
      </c>
      <c r="AG56" s="573"/>
    </row>
    <row r="57" spans="1:33" ht="15.75" customHeight="1">
      <c r="A57" s="580" t="s">
        <v>67</v>
      </c>
      <c r="B57" s="187" t="s">
        <v>104</v>
      </c>
      <c r="C57" s="574" t="s">
        <v>117</v>
      </c>
      <c r="D57" s="574"/>
      <c r="E57" s="39">
        <v>26.78</v>
      </c>
      <c r="F57" s="45">
        <v>2304</v>
      </c>
      <c r="G57" s="180">
        <f t="shared" si="40"/>
        <v>61701.120000000003</v>
      </c>
      <c r="H57" s="48" t="s">
        <v>126</v>
      </c>
      <c r="I57" s="184">
        <v>10</v>
      </c>
      <c r="J57" s="43">
        <v>3000</v>
      </c>
      <c r="K57" s="18">
        <f t="shared" si="1"/>
        <v>300</v>
      </c>
      <c r="L57" s="184">
        <v>10</v>
      </c>
      <c r="M57" s="19">
        <f t="shared" si="41"/>
        <v>2880.0000000000009</v>
      </c>
      <c r="N57" s="18">
        <f t="shared" si="3"/>
        <v>288.00000000000011</v>
      </c>
      <c r="O57" s="20">
        <f t="shared" si="4"/>
        <v>0</v>
      </c>
      <c r="P57" s="21">
        <f t="shared" si="5"/>
        <v>-11.999999999999886</v>
      </c>
      <c r="Q57" s="179">
        <f t="shared" si="6"/>
        <v>0.96000000000000041</v>
      </c>
      <c r="R57" s="573"/>
      <c r="S57" s="49">
        <v>0.26458333333333334</v>
      </c>
      <c r="T57" s="49">
        <v>0.29791666666666666</v>
      </c>
      <c r="U57" s="180">
        <f t="shared" si="44"/>
        <v>7.9999999999999716</v>
      </c>
      <c r="V57" s="185">
        <f t="shared" si="42"/>
        <v>47.999999999999986</v>
      </c>
      <c r="W57" s="180"/>
      <c r="X57" s="180"/>
      <c r="Y57" s="180"/>
      <c r="Z57" s="180"/>
      <c r="AA57" s="575"/>
      <c r="AB57" s="575"/>
      <c r="AC57" s="50"/>
      <c r="AD57" s="27"/>
      <c r="AE57" s="20">
        <f t="shared" si="43"/>
        <v>-119.99999999999909</v>
      </c>
      <c r="AF57" s="179">
        <f t="shared" si="9"/>
        <v>0.9600000000000003</v>
      </c>
      <c r="AG57" s="573"/>
    </row>
    <row r="58" spans="1:33" ht="15.75" customHeight="1">
      <c r="A58" s="580" t="s">
        <v>67</v>
      </c>
      <c r="B58" s="187" t="s">
        <v>104</v>
      </c>
      <c r="C58" s="574" t="s">
        <v>118</v>
      </c>
      <c r="D58" s="574"/>
      <c r="E58" s="39">
        <v>37.880000000000003</v>
      </c>
      <c r="F58" s="45">
        <v>1304</v>
      </c>
      <c r="G58" s="180">
        <f t="shared" si="40"/>
        <v>49395.520000000004</v>
      </c>
      <c r="H58" s="48" t="s">
        <v>126</v>
      </c>
      <c r="I58" s="184">
        <v>10</v>
      </c>
      <c r="J58" s="43">
        <v>3000</v>
      </c>
      <c r="K58" s="18">
        <f t="shared" si="1"/>
        <v>300</v>
      </c>
      <c r="L58" s="184">
        <v>10</v>
      </c>
      <c r="M58" s="19">
        <f t="shared" si="41"/>
        <v>2897.7777777777792</v>
      </c>
      <c r="N58" s="18">
        <f t="shared" si="3"/>
        <v>289.77777777777794</v>
      </c>
      <c r="O58" s="20">
        <f t="shared" si="4"/>
        <v>0</v>
      </c>
      <c r="P58" s="21">
        <f t="shared" si="5"/>
        <v>-10.222222222222058</v>
      </c>
      <c r="Q58" s="179">
        <f t="shared" si="6"/>
        <v>0.96592592592592652</v>
      </c>
      <c r="R58" s="573"/>
      <c r="S58" s="49">
        <v>0.30277777777777776</v>
      </c>
      <c r="T58" s="49">
        <v>0.32152777777777775</v>
      </c>
      <c r="U58" s="180">
        <f t="shared" si="44"/>
        <v>6.9999999999999751</v>
      </c>
      <c r="V58" s="185">
        <f t="shared" si="42"/>
        <v>26.999999999999986</v>
      </c>
      <c r="W58" s="180"/>
      <c r="X58" s="180"/>
      <c r="Y58" s="180"/>
      <c r="Z58" s="180"/>
      <c r="AA58" s="575"/>
      <c r="AB58" s="575"/>
      <c r="AC58" s="50"/>
      <c r="AD58" s="27"/>
      <c r="AE58" s="20">
        <f t="shared" si="43"/>
        <v>-102.22222222222081</v>
      </c>
      <c r="AF58" s="179">
        <f t="shared" si="9"/>
        <v>0.96592592592592641</v>
      </c>
      <c r="AG58" s="573"/>
    </row>
    <row r="59" spans="1:33">
      <c r="A59" s="581" t="s">
        <v>925</v>
      </c>
      <c r="B59" s="187" t="s">
        <v>104</v>
      </c>
      <c r="C59" s="574" t="s">
        <v>119</v>
      </c>
      <c r="D59" s="574"/>
      <c r="E59" s="39">
        <v>35.869999999999997</v>
      </c>
      <c r="F59" s="45">
        <v>3435</v>
      </c>
      <c r="G59" s="180">
        <f t="shared" si="40"/>
        <v>123213.45</v>
      </c>
      <c r="H59" s="48" t="s">
        <v>126</v>
      </c>
      <c r="I59" s="184">
        <v>9</v>
      </c>
      <c r="J59" s="43">
        <v>3000</v>
      </c>
      <c r="K59" s="18">
        <f t="shared" si="1"/>
        <v>333.33333333333331</v>
      </c>
      <c r="L59" s="184">
        <v>9</v>
      </c>
      <c r="M59" s="19">
        <f t="shared" si="41"/>
        <v>2862.5000000000005</v>
      </c>
      <c r="N59" s="18">
        <f t="shared" si="3"/>
        <v>318.0555555555556</v>
      </c>
      <c r="O59" s="20">
        <f t="shared" si="4"/>
        <v>0</v>
      </c>
      <c r="P59" s="21">
        <f t="shared" si="5"/>
        <v>-15.277777777777715</v>
      </c>
      <c r="Q59" s="179">
        <f t="shared" si="6"/>
        <v>0.95416666666666683</v>
      </c>
      <c r="R59" s="573"/>
      <c r="S59" s="49">
        <v>0.32638888888888884</v>
      </c>
      <c r="T59" s="49">
        <v>0.37638888888888883</v>
      </c>
      <c r="U59" s="180">
        <f t="shared" si="44"/>
        <v>6.9999999999999751</v>
      </c>
      <c r="V59" s="185">
        <f t="shared" si="42"/>
        <v>71.999999999999986</v>
      </c>
      <c r="W59" s="25"/>
      <c r="X59" s="25"/>
      <c r="Y59" s="25"/>
      <c r="Z59" s="25"/>
      <c r="AA59" s="575"/>
      <c r="AB59" s="575"/>
      <c r="AC59" s="50"/>
      <c r="AD59" s="27"/>
      <c r="AE59" s="20">
        <f t="shared" si="43"/>
        <v>-137.49999999999955</v>
      </c>
      <c r="AF59" s="179">
        <f t="shared" si="9"/>
        <v>0.95416666666666683</v>
      </c>
      <c r="AG59" s="573"/>
    </row>
    <row r="60" spans="1:33" ht="15" customHeight="1">
      <c r="A60" s="581" t="s">
        <v>67</v>
      </c>
      <c r="B60" s="187" t="s">
        <v>104</v>
      </c>
      <c r="C60" s="566" t="s">
        <v>120</v>
      </c>
      <c r="D60" s="567"/>
      <c r="E60" s="39">
        <v>34.35</v>
      </c>
      <c r="F60" s="45">
        <v>2040</v>
      </c>
      <c r="G60" s="180">
        <f t="shared" si="40"/>
        <v>70074</v>
      </c>
      <c r="H60" s="48" t="s">
        <v>126</v>
      </c>
      <c r="I60" s="184">
        <v>8</v>
      </c>
      <c r="J60" s="43">
        <v>3000</v>
      </c>
      <c r="K60" s="18">
        <f t="shared" si="1"/>
        <v>375</v>
      </c>
      <c r="L60" s="184">
        <v>8</v>
      </c>
      <c r="M60" s="19">
        <f t="shared" si="41"/>
        <v>2914.2857142857133</v>
      </c>
      <c r="N60" s="18">
        <f t="shared" si="3"/>
        <v>364.28571428571416</v>
      </c>
      <c r="O60" s="20">
        <f t="shared" si="4"/>
        <v>0</v>
      </c>
      <c r="P60" s="21">
        <f t="shared" si="5"/>
        <v>-10.714285714285836</v>
      </c>
      <c r="Q60" s="179">
        <f t="shared" si="6"/>
        <v>0.97142857142857109</v>
      </c>
      <c r="R60" s="573"/>
      <c r="S60" s="49">
        <v>0.37986111111111104</v>
      </c>
      <c r="T60" s="49">
        <v>0.40902777777777771</v>
      </c>
      <c r="U60" s="180">
        <f t="shared" si="44"/>
        <v>4.9999999999999822</v>
      </c>
      <c r="V60" s="185">
        <f t="shared" si="42"/>
        <v>42.000000000000014</v>
      </c>
      <c r="W60" s="180"/>
      <c r="X60" s="180"/>
      <c r="Y60" s="176"/>
      <c r="Z60" s="176"/>
      <c r="AA60" s="568"/>
      <c r="AB60" s="569"/>
      <c r="AC60" s="50"/>
      <c r="AD60" s="27"/>
      <c r="AE60" s="20">
        <f t="shared" si="43"/>
        <v>-85.714285714286689</v>
      </c>
      <c r="AF60" s="179">
        <f t="shared" si="9"/>
        <v>0.97142857142857109</v>
      </c>
      <c r="AG60" s="573"/>
    </row>
    <row r="61" spans="1:33">
      <c r="A61" s="581" t="s">
        <v>926</v>
      </c>
      <c r="B61" s="39" t="s">
        <v>46</v>
      </c>
      <c r="C61" s="576"/>
      <c r="D61" s="576"/>
      <c r="E61" s="181"/>
      <c r="F61" s="42"/>
      <c r="G61" s="18"/>
      <c r="H61" s="187"/>
      <c r="I61" s="32">
        <v>9.5</v>
      </c>
      <c r="J61" s="43">
        <v>3000</v>
      </c>
      <c r="K61" s="18">
        <f t="shared" si="1"/>
        <v>315.78947368421052</v>
      </c>
      <c r="L61" s="32">
        <v>9.5</v>
      </c>
      <c r="M61" s="19">
        <f>AVERAGE(M55:M60)</f>
        <v>2900.9878547378544</v>
      </c>
      <c r="N61" s="18">
        <f t="shared" si="3"/>
        <v>305.36714260398469</v>
      </c>
      <c r="O61" s="20">
        <f t="shared" si="4"/>
        <v>0</v>
      </c>
      <c r="P61" s="21">
        <f t="shared" si="5"/>
        <v>-10.422331080225831</v>
      </c>
      <c r="Q61" s="179">
        <f t="shared" si="6"/>
        <v>0.96699595157928486</v>
      </c>
      <c r="R61" s="573"/>
      <c r="S61" s="49"/>
      <c r="T61" s="49"/>
      <c r="U61" s="18"/>
      <c r="V61" s="185"/>
      <c r="W61" s="18"/>
      <c r="X61" s="18"/>
      <c r="Y61" s="33">
        <f>SUM(Y55:Y60)</f>
        <v>0</v>
      </c>
      <c r="Z61" s="33">
        <f>SUM(Z55:Z60)</f>
        <v>0</v>
      </c>
      <c r="AA61" s="572"/>
      <c r="AB61" s="572"/>
      <c r="AC61" s="33">
        <v>6</v>
      </c>
      <c r="AD61" s="33">
        <f>SUM(AD55:AD60)</f>
        <v>0</v>
      </c>
      <c r="AE61" s="20">
        <f t="shared" si="43"/>
        <v>-99.012145262145623</v>
      </c>
      <c r="AF61" s="179">
        <f t="shared" si="9"/>
        <v>0.96699595157928475</v>
      </c>
      <c r="AG61" s="573"/>
    </row>
    <row r="62" spans="1:33" ht="15.75" customHeight="1">
      <c r="A62" s="577" t="s">
        <v>71</v>
      </c>
      <c r="B62" s="187" t="s">
        <v>94</v>
      </c>
      <c r="C62" s="574" t="s">
        <v>124</v>
      </c>
      <c r="D62" s="574"/>
      <c r="E62" s="39">
        <v>22.69</v>
      </c>
      <c r="F62" s="187">
        <v>4354</v>
      </c>
      <c r="G62" s="180">
        <f t="shared" ref="G62:G67" si="45">E62*F62</f>
        <v>98792.260000000009</v>
      </c>
      <c r="H62" s="48" t="s">
        <v>126</v>
      </c>
      <c r="I62" s="184">
        <v>15</v>
      </c>
      <c r="J62" s="43">
        <v>2400</v>
      </c>
      <c r="K62" s="18">
        <f t="shared" si="1"/>
        <v>160</v>
      </c>
      <c r="L62" s="184">
        <v>15</v>
      </c>
      <c r="M62" s="19">
        <f t="shared" ref="M62:M67" si="46">F62/V62*60</f>
        <v>2291.5789473684217</v>
      </c>
      <c r="N62" s="18">
        <f t="shared" si="3"/>
        <v>152.77192982456145</v>
      </c>
      <c r="O62" s="20">
        <f t="shared" si="4"/>
        <v>0</v>
      </c>
      <c r="P62" s="21">
        <f t="shared" si="5"/>
        <v>-7.2280701754385461</v>
      </c>
      <c r="Q62" s="179">
        <f t="shared" si="6"/>
        <v>0.95482456140350913</v>
      </c>
      <c r="R62" s="573">
        <f>Q68</f>
        <v>0.95587199906129328</v>
      </c>
      <c r="S62" s="49">
        <v>8.3333333333333329E-2</v>
      </c>
      <c r="T62" s="49">
        <v>0.16249999999999998</v>
      </c>
      <c r="U62" s="30"/>
      <c r="V62" s="185">
        <f t="shared" ref="V62:V67" si="47">(T62-S62)*24*60</f>
        <v>113.99999999999997</v>
      </c>
      <c r="W62" s="25">
        <f>T62</f>
        <v>0.16249999999999998</v>
      </c>
      <c r="X62" s="25">
        <f>S63</f>
        <v>0.18263888888888888</v>
      </c>
      <c r="Y62" s="25"/>
      <c r="Z62" s="25"/>
      <c r="AA62" s="575"/>
      <c r="AB62" s="575"/>
      <c r="AC62" s="50">
        <v>6</v>
      </c>
      <c r="AD62" s="27"/>
      <c r="AE62" s="20">
        <f t="shared" si="43"/>
        <v>-108.42105263157828</v>
      </c>
      <c r="AF62" s="179">
        <f t="shared" si="9"/>
        <v>0.95482456140350902</v>
      </c>
      <c r="AG62" s="573">
        <f>AF68</f>
        <v>0.95587199906129328</v>
      </c>
    </row>
    <row r="63" spans="1:33" ht="15.75" customHeight="1">
      <c r="A63" s="578" t="s">
        <v>927</v>
      </c>
      <c r="B63" s="187" t="s">
        <v>94</v>
      </c>
      <c r="C63" s="574" t="s">
        <v>101</v>
      </c>
      <c r="D63" s="574"/>
      <c r="E63" s="39">
        <v>25.98</v>
      </c>
      <c r="F63" s="187">
        <v>2846</v>
      </c>
      <c r="G63" s="180">
        <f t="shared" si="45"/>
        <v>73939.08</v>
      </c>
      <c r="H63" s="48" t="s">
        <v>126</v>
      </c>
      <c r="I63" s="184">
        <v>19</v>
      </c>
      <c r="J63" s="43">
        <v>2400</v>
      </c>
      <c r="K63" s="18">
        <f t="shared" si="1"/>
        <v>126.31578947368421</v>
      </c>
      <c r="L63" s="184">
        <v>19</v>
      </c>
      <c r="M63" s="19">
        <f t="shared" si="46"/>
        <v>2307.567567567567</v>
      </c>
      <c r="N63" s="18">
        <f t="shared" si="3"/>
        <v>121.45092460881932</v>
      </c>
      <c r="O63" s="20">
        <f t="shared" si="4"/>
        <v>0</v>
      </c>
      <c r="P63" s="21">
        <f t="shared" si="5"/>
        <v>-4.8648648648648845</v>
      </c>
      <c r="Q63" s="179">
        <f t="shared" si="6"/>
        <v>0.96148648648648638</v>
      </c>
      <c r="R63" s="573"/>
      <c r="S63" s="49">
        <v>0.18263888888888888</v>
      </c>
      <c r="T63" s="49">
        <v>0.23402777777777778</v>
      </c>
      <c r="U63" s="180">
        <f t="shared" ref="U63:U67" si="48">(S63-T62)*24*60</f>
        <v>29.000000000000018</v>
      </c>
      <c r="V63" s="185">
        <f t="shared" si="47"/>
        <v>74.000000000000014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-92.432432432432961</v>
      </c>
      <c r="AF63" s="179">
        <f t="shared" si="9"/>
        <v>0.96148648648648627</v>
      </c>
      <c r="AG63" s="573"/>
    </row>
    <row r="64" spans="1:33" ht="15.75" customHeight="1">
      <c r="A64" s="578" t="s">
        <v>928</v>
      </c>
      <c r="B64" s="187" t="s">
        <v>94</v>
      </c>
      <c r="C64" s="574" t="s">
        <v>123</v>
      </c>
      <c r="D64" s="574"/>
      <c r="E64" s="39">
        <v>20.21</v>
      </c>
      <c r="F64" s="187">
        <v>2940</v>
      </c>
      <c r="G64" s="180">
        <f t="shared" si="45"/>
        <v>59417.4</v>
      </c>
      <c r="H64" s="48" t="s">
        <v>126</v>
      </c>
      <c r="I64" s="184">
        <v>15</v>
      </c>
      <c r="J64" s="43">
        <v>2400</v>
      </c>
      <c r="K64" s="18">
        <f t="shared" si="1"/>
        <v>160</v>
      </c>
      <c r="L64" s="184">
        <v>15</v>
      </c>
      <c r="M64" s="19">
        <f t="shared" si="46"/>
        <v>2290.9090909090914</v>
      </c>
      <c r="N64" s="18">
        <f t="shared" si="3"/>
        <v>152.72727272727278</v>
      </c>
      <c r="O64" s="20">
        <f t="shared" si="4"/>
        <v>0</v>
      </c>
      <c r="P64" s="21">
        <f t="shared" si="5"/>
        <v>-7.2727272727272236</v>
      </c>
      <c r="Q64" s="179">
        <f t="shared" si="6"/>
        <v>0.95454545454545481</v>
      </c>
      <c r="R64" s="573"/>
      <c r="S64" s="49">
        <v>0.23749999999999999</v>
      </c>
      <c r="T64" s="49">
        <v>0.29097222222222219</v>
      </c>
      <c r="U64" s="180">
        <f t="shared" si="48"/>
        <v>4.9999999999999822</v>
      </c>
      <c r="V64" s="185">
        <f t="shared" si="47"/>
        <v>76.999999999999972</v>
      </c>
      <c r="W64" s="25"/>
      <c r="X64" s="25"/>
      <c r="Y64" s="25"/>
      <c r="Z64" s="25"/>
      <c r="AA64" s="575"/>
      <c r="AB64" s="575"/>
      <c r="AC64" s="50"/>
      <c r="AD64" s="27"/>
      <c r="AE64" s="20">
        <f t="shared" si="43"/>
        <v>-109.09090909090855</v>
      </c>
      <c r="AF64" s="179">
        <f t="shared" si="9"/>
        <v>0.95454545454545481</v>
      </c>
      <c r="AG64" s="573"/>
    </row>
    <row r="65" spans="1:33" ht="15.75" customHeight="1">
      <c r="A65" s="578" t="s">
        <v>71</v>
      </c>
      <c r="B65" s="187" t="s">
        <v>94</v>
      </c>
      <c r="C65" s="574" t="s">
        <v>125</v>
      </c>
      <c r="D65" s="574"/>
      <c r="E65" s="39">
        <v>19.02</v>
      </c>
      <c r="F65" s="187">
        <v>5600</v>
      </c>
      <c r="G65" s="180">
        <f t="shared" si="45"/>
        <v>106512</v>
      </c>
      <c r="H65" s="48">
        <v>2</v>
      </c>
      <c r="I65" s="184">
        <v>14</v>
      </c>
      <c r="J65" s="43">
        <v>2400</v>
      </c>
      <c r="K65" s="18">
        <f t="shared" si="1"/>
        <v>171.42857142857142</v>
      </c>
      <c r="L65" s="184">
        <v>14</v>
      </c>
      <c r="M65" s="19">
        <f t="shared" si="46"/>
        <v>2285.7142857142853</v>
      </c>
      <c r="N65" s="18">
        <f t="shared" si="3"/>
        <v>163.26530612244895</v>
      </c>
      <c r="O65" s="20">
        <f t="shared" si="4"/>
        <v>0</v>
      </c>
      <c r="P65" s="21">
        <f t="shared" si="5"/>
        <v>-8.1632653061224687</v>
      </c>
      <c r="Q65" s="179">
        <f t="shared" si="6"/>
        <v>0.95238095238095222</v>
      </c>
      <c r="R65" s="573"/>
      <c r="S65" s="49">
        <v>0.29652777777777772</v>
      </c>
      <c r="T65" s="49">
        <v>0.39861111111111108</v>
      </c>
      <c r="U65" s="180">
        <f t="shared" si="48"/>
        <v>7.9999999999999716</v>
      </c>
      <c r="V65" s="185">
        <f t="shared" si="47"/>
        <v>147.00000000000003</v>
      </c>
      <c r="W65" s="25"/>
      <c r="X65" s="25"/>
      <c r="Y65" s="25"/>
      <c r="Z65" s="25"/>
      <c r="AA65" s="575"/>
      <c r="AB65" s="575"/>
      <c r="AC65" s="50"/>
      <c r="AD65" s="27"/>
      <c r="AE65" s="20">
        <f t="shared" si="43"/>
        <v>-114.28571428571468</v>
      </c>
      <c r="AF65" s="179">
        <f t="shared" si="9"/>
        <v>0.95238095238095222</v>
      </c>
      <c r="AG65" s="573"/>
    </row>
    <row r="66" spans="1:33" ht="15.75" customHeight="1">
      <c r="A66" s="578" t="s">
        <v>71</v>
      </c>
      <c r="B66" s="187" t="s">
        <v>94</v>
      </c>
      <c r="C66" s="574" t="s">
        <v>99</v>
      </c>
      <c r="D66" s="574"/>
      <c r="E66" s="39">
        <v>20.36</v>
      </c>
      <c r="F66" s="187">
        <v>4615</v>
      </c>
      <c r="G66" s="180">
        <f t="shared" si="45"/>
        <v>93961.4</v>
      </c>
      <c r="H66" s="48" t="s">
        <v>126</v>
      </c>
      <c r="I66" s="184">
        <v>18</v>
      </c>
      <c r="J66" s="43">
        <v>2400</v>
      </c>
      <c r="K66" s="18">
        <f t="shared" si="1"/>
        <v>133.33333333333334</v>
      </c>
      <c r="L66" s="184">
        <v>18</v>
      </c>
      <c r="M66" s="19">
        <f t="shared" si="46"/>
        <v>2288.4297520661166</v>
      </c>
      <c r="N66" s="18">
        <f t="shared" si="3"/>
        <v>127.13498622589537</v>
      </c>
      <c r="O66" s="20">
        <f t="shared" si="4"/>
        <v>0</v>
      </c>
      <c r="P66" s="21">
        <f t="shared" si="5"/>
        <v>-6.1983471074379679</v>
      </c>
      <c r="Q66" s="179">
        <f t="shared" si="6"/>
        <v>0.95351239669421528</v>
      </c>
      <c r="R66" s="573"/>
      <c r="S66" s="49">
        <v>0.40277777777777773</v>
      </c>
      <c r="T66" s="49">
        <v>0.48680555555555549</v>
      </c>
      <c r="U66" s="180">
        <f t="shared" si="48"/>
        <v>5.9999999999999787</v>
      </c>
      <c r="V66" s="185">
        <f t="shared" si="47"/>
        <v>120.99999999999997</v>
      </c>
      <c r="W66" s="25">
        <f>T66</f>
        <v>0.48680555555555549</v>
      </c>
      <c r="X66" s="25">
        <f>S67</f>
        <v>0.52569444444444435</v>
      </c>
      <c r="Y66" s="25"/>
      <c r="Z66" s="25"/>
      <c r="AA66" s="575"/>
      <c r="AB66" s="575"/>
      <c r="AC66" s="50"/>
      <c r="AD66" s="27"/>
      <c r="AE66" s="20">
        <f t="shared" si="43"/>
        <v>-111.57024793388337</v>
      </c>
      <c r="AF66" s="179">
        <f t="shared" si="9"/>
        <v>0.95351239669421528</v>
      </c>
      <c r="AG66" s="573"/>
    </row>
    <row r="67" spans="1:33" ht="15.75" customHeight="1">
      <c r="A67" s="578" t="s">
        <v>929</v>
      </c>
      <c r="B67" s="187" t="s">
        <v>94</v>
      </c>
      <c r="C67" s="574" t="s">
        <v>125</v>
      </c>
      <c r="D67" s="574"/>
      <c r="E67" s="39">
        <v>19.02</v>
      </c>
      <c r="F67" s="187">
        <v>4294</v>
      </c>
      <c r="G67" s="180">
        <f t="shared" si="45"/>
        <v>81671.88</v>
      </c>
      <c r="H67" s="48" t="s">
        <v>126</v>
      </c>
      <c r="I67" s="184">
        <v>14</v>
      </c>
      <c r="J67" s="43">
        <v>2400</v>
      </c>
      <c r="K67" s="18">
        <f t="shared" si="1"/>
        <v>171.42857142857142</v>
      </c>
      <c r="L67" s="184">
        <v>14</v>
      </c>
      <c r="M67" s="19">
        <f t="shared" si="46"/>
        <v>2300.3571428571413</v>
      </c>
      <c r="N67" s="18">
        <f t="shared" si="3"/>
        <v>164.31122448979582</v>
      </c>
      <c r="O67" s="20">
        <f t="shared" si="4"/>
        <v>0</v>
      </c>
      <c r="P67" s="21">
        <f t="shared" si="5"/>
        <v>-7.1173469387755972</v>
      </c>
      <c r="Q67" s="179">
        <f t="shared" si="6"/>
        <v>0.95848214285714239</v>
      </c>
      <c r="R67" s="573"/>
      <c r="S67" s="49">
        <v>0.52569444444444435</v>
      </c>
      <c r="T67" s="49">
        <v>0.60347222222222219</v>
      </c>
      <c r="U67" s="180">
        <f t="shared" si="48"/>
        <v>55.999999999999957</v>
      </c>
      <c r="V67" s="185">
        <f t="shared" si="47"/>
        <v>112.00000000000009</v>
      </c>
      <c r="W67" s="25"/>
      <c r="X67" s="25"/>
      <c r="Y67" s="25"/>
      <c r="Z67" s="25"/>
      <c r="AA67" s="575"/>
      <c r="AB67" s="575"/>
      <c r="AC67" s="50"/>
      <c r="AD67" s="27"/>
      <c r="AE67" s="20">
        <f t="shared" si="43"/>
        <v>-99.642857142858702</v>
      </c>
      <c r="AF67" s="179">
        <f t="shared" si="9"/>
        <v>0.95848214285714217</v>
      </c>
      <c r="AG67" s="573"/>
    </row>
    <row r="68" spans="1:33" ht="16.5" customHeight="1">
      <c r="A68" s="579" t="s">
        <v>71</v>
      </c>
      <c r="B68" s="39" t="s">
        <v>930</v>
      </c>
      <c r="C68" s="570"/>
      <c r="D68" s="571"/>
      <c r="E68" s="181"/>
      <c r="F68" s="42"/>
      <c r="G68" s="18"/>
      <c r="H68" s="187"/>
      <c r="I68" s="32">
        <v>15.833333333333334</v>
      </c>
      <c r="J68" s="43">
        <v>2400</v>
      </c>
      <c r="K68" s="18">
        <f t="shared" si="1"/>
        <v>151.57894736842104</v>
      </c>
      <c r="L68" s="32">
        <v>15.833333333333334</v>
      </c>
      <c r="M68" s="19">
        <f>AVERAGE(M62:M67)</f>
        <v>2294.0927977471038</v>
      </c>
      <c r="N68" s="18">
        <f t="shared" si="3"/>
        <v>144.89007143665918</v>
      </c>
      <c r="O68" s="20">
        <f t="shared" si="4"/>
        <v>0</v>
      </c>
      <c r="P68" s="21">
        <f t="shared" si="5"/>
        <v>-6.6888759317618565</v>
      </c>
      <c r="Q68" s="179">
        <f t="shared" si="6"/>
        <v>0.95587199906129328</v>
      </c>
      <c r="R68" s="573"/>
      <c r="S68" s="49"/>
      <c r="T68" s="49"/>
      <c r="U68" s="18"/>
      <c r="V68" s="185"/>
      <c r="W68" s="18"/>
      <c r="X68" s="18"/>
      <c r="Y68" s="33">
        <f>SUM(Y62:Y67)</f>
        <v>0</v>
      </c>
      <c r="Z68" s="33">
        <f>SUM(Z62:Z67)</f>
        <v>0</v>
      </c>
      <c r="AA68" s="572"/>
      <c r="AB68" s="572"/>
      <c r="AC68" s="33">
        <v>6</v>
      </c>
      <c r="AD68" s="33">
        <f>SUM(AD62:AD67)</f>
        <v>0</v>
      </c>
      <c r="AE68" s="20">
        <f t="shared" si="43"/>
        <v>-105.90720225289624</v>
      </c>
      <c r="AF68" s="179">
        <f t="shared" si="9"/>
        <v>0.95587199906129328</v>
      </c>
      <c r="AG68" s="573"/>
    </row>
    <row r="69" spans="1:33">
      <c r="D69" s="35"/>
      <c r="E69" s="35"/>
    </row>
  </sheetData>
  <mergeCells count="189">
    <mergeCell ref="A62:A68"/>
    <mergeCell ref="C62:D62"/>
    <mergeCell ref="R62:R68"/>
    <mergeCell ref="AA62:AB62"/>
    <mergeCell ref="AG62:AG68"/>
    <mergeCell ref="C63:D63"/>
    <mergeCell ref="AA63:AB63"/>
    <mergeCell ref="C64:D64"/>
    <mergeCell ref="AA64:AB64"/>
    <mergeCell ref="C65:D65"/>
    <mergeCell ref="C67:D67"/>
    <mergeCell ref="AA67:AB67"/>
    <mergeCell ref="C68:D68"/>
    <mergeCell ref="AA68:AB68"/>
    <mergeCell ref="AA58:AB58"/>
    <mergeCell ref="C59:D59"/>
    <mergeCell ref="AA59:AB59"/>
    <mergeCell ref="C60:D60"/>
    <mergeCell ref="AA60:AB60"/>
    <mergeCell ref="C61:D61"/>
    <mergeCell ref="AA61:AB61"/>
    <mergeCell ref="AA65:AB65"/>
    <mergeCell ref="C66:D66"/>
    <mergeCell ref="AA66:AB66"/>
    <mergeCell ref="A47:A54"/>
    <mergeCell ref="C47:D47"/>
    <mergeCell ref="R47:R54"/>
    <mergeCell ref="AA47:AB47"/>
    <mergeCell ref="A55:A61"/>
    <mergeCell ref="C55:D55"/>
    <mergeCell ref="R55:R61"/>
    <mergeCell ref="AA55:AB55"/>
    <mergeCell ref="AG55:AG61"/>
    <mergeCell ref="C56:D56"/>
    <mergeCell ref="AA56:AB56"/>
    <mergeCell ref="C57:D57"/>
    <mergeCell ref="AA57:AB57"/>
    <mergeCell ref="C58:D58"/>
    <mergeCell ref="AG47:AG54"/>
    <mergeCell ref="C48:D48"/>
    <mergeCell ref="AA48:AB48"/>
    <mergeCell ref="C49:D49"/>
    <mergeCell ref="AA49:AB49"/>
    <mergeCell ref="AA50:AB50"/>
    <mergeCell ref="AA51:AB51"/>
    <mergeCell ref="C52:D52"/>
    <mergeCell ref="AA52:AB52"/>
    <mergeCell ref="C53:D53"/>
    <mergeCell ref="AG42:AG46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AA53:AB53"/>
    <mergeCell ref="C54:D54"/>
    <mergeCell ref="AA54:AB54"/>
    <mergeCell ref="A42:A46"/>
    <mergeCell ref="C42:D42"/>
    <mergeCell ref="R42:R46"/>
    <mergeCell ref="AA42:AB42"/>
    <mergeCell ref="AG34:AG41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34:A41"/>
    <mergeCell ref="C34:D34"/>
    <mergeCell ref="R34:R41"/>
    <mergeCell ref="AA34:AB34"/>
    <mergeCell ref="AA39:AB39"/>
    <mergeCell ref="C40:D40"/>
    <mergeCell ref="AA40:AB40"/>
    <mergeCell ref="C41:D41"/>
    <mergeCell ref="AA41:AB41"/>
    <mergeCell ref="AA30:AB30"/>
    <mergeCell ref="C31:D31"/>
    <mergeCell ref="AA31:AB31"/>
    <mergeCell ref="AA25:AB25"/>
    <mergeCell ref="A26:A33"/>
    <mergeCell ref="C26:D26"/>
    <mergeCell ref="R26:R33"/>
    <mergeCell ref="AA26:AB26"/>
    <mergeCell ref="C32:D32"/>
    <mergeCell ref="AA32:AB32"/>
    <mergeCell ref="C33:D33"/>
    <mergeCell ref="AA33:AB33"/>
    <mergeCell ref="A19:A25"/>
    <mergeCell ref="C19:D19"/>
    <mergeCell ref="R19:R25"/>
    <mergeCell ref="AA19:AB19"/>
    <mergeCell ref="AA24:AB24"/>
    <mergeCell ref="C25:D25"/>
    <mergeCell ref="AG26:AG33"/>
    <mergeCell ref="C27:D27"/>
    <mergeCell ref="AA27:AB27"/>
    <mergeCell ref="C28:D28"/>
    <mergeCell ref="AA28:AB28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29:D29"/>
    <mergeCell ref="AA29:AB29"/>
    <mergeCell ref="C30:D30"/>
    <mergeCell ref="AA13:AB13"/>
    <mergeCell ref="A14:A18"/>
    <mergeCell ref="C14:D14"/>
    <mergeCell ref="R14:R18"/>
    <mergeCell ref="AA14:AB14"/>
    <mergeCell ref="AG14:AG18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17:D17"/>
    <mergeCell ref="AA17:AB17"/>
    <mergeCell ref="C18:D18"/>
    <mergeCell ref="AA18:AB18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4:O55 O58:O68 O5:O10 O13:O15 O18:O52">
    <cfRule type="cellIs" dxfId="528" priority="36" operator="greaterThan">
      <formula>0</formula>
    </cfRule>
  </conditionalFormatting>
  <conditionalFormatting sqref="P5:P8 P58:P60 AE58:AE60 P62:P67 P26:P32 P55 P10 P13:P15 P19:P24 P47:P52 P34:P45 AE5:AE55 AE62:AE68">
    <cfRule type="cellIs" dxfId="527" priority="40" operator="lessThan">
      <formula>0</formula>
    </cfRule>
  </conditionalFormatting>
  <conditionalFormatting sqref="AF58:AF60 Q54:Q55 Q58:Q68 Q5:Q10 Q13:Q15 Q18:Q52 AF5:AF55 AF62:AF68">
    <cfRule type="cellIs" dxfId="526" priority="37" operator="greaterThan">
      <formula>1</formula>
    </cfRule>
    <cfRule type="cellIs" dxfId="525" priority="38" operator="lessThan">
      <formula>0.8</formula>
    </cfRule>
  </conditionalFormatting>
  <conditionalFormatting sqref="AG14:AG15 R14:R15 AG58 AG54:AG55 R54:R55 R58:R68 AG5:AG10 R5:R10 R18:R52 AG18:AG52">
    <cfRule type="cellIs" dxfId="524" priority="42" operator="lessThan">
      <formula>0.8</formula>
    </cfRule>
  </conditionalFormatting>
  <conditionalFormatting sqref="AG42">
    <cfRule type="cellIs" dxfId="523" priority="44" operator="lessThan">
      <formula>0.8</formula>
    </cfRule>
  </conditionalFormatting>
  <conditionalFormatting sqref="AG19:AG24">
    <cfRule type="cellIs" dxfId="522" priority="41" operator="lessThan">
      <formula>0.8</formula>
    </cfRule>
  </conditionalFormatting>
  <conditionalFormatting sqref="AG26">
    <cfRule type="cellIs" dxfId="521" priority="43" operator="lessThan">
      <formula>0.8</formula>
    </cfRule>
  </conditionalFormatting>
  <conditionalFormatting sqref="AG34:AG40">
    <cfRule type="cellIs" dxfId="520" priority="39" operator="lessThan">
      <formula>0.8</formula>
    </cfRule>
  </conditionalFormatting>
  <conditionalFormatting sqref="AE61">
    <cfRule type="cellIs" dxfId="519" priority="35" operator="lessThan">
      <formula>0</formula>
    </cfRule>
  </conditionalFormatting>
  <conditionalFormatting sqref="AF61">
    <cfRule type="cellIs" dxfId="518" priority="33" operator="greaterThan">
      <formula>1</formula>
    </cfRule>
    <cfRule type="cellIs" dxfId="517" priority="34" operator="lessThan">
      <formula>0.8</formula>
    </cfRule>
  </conditionalFormatting>
  <conditionalFormatting sqref="O16:O17">
    <cfRule type="cellIs" dxfId="516" priority="28" operator="greaterThan">
      <formula>0</formula>
    </cfRule>
  </conditionalFormatting>
  <conditionalFormatting sqref="P16:P17">
    <cfRule type="cellIs" dxfId="515" priority="31" operator="lessThan">
      <formula>0</formula>
    </cfRule>
  </conditionalFormatting>
  <conditionalFormatting sqref="Q16:Q17">
    <cfRule type="cellIs" dxfId="514" priority="29" operator="greaterThan">
      <formula>1</formula>
    </cfRule>
    <cfRule type="cellIs" dxfId="513" priority="30" operator="lessThan">
      <formula>0.8</formula>
    </cfRule>
  </conditionalFormatting>
  <conditionalFormatting sqref="R16:R17 AG16:AG17">
    <cfRule type="cellIs" dxfId="512" priority="32" operator="lessThan">
      <formula>0.8</formula>
    </cfRule>
  </conditionalFormatting>
  <conditionalFormatting sqref="O11:O12">
    <cfRule type="cellIs" dxfId="511" priority="24" operator="greaterThan">
      <formula>0</formula>
    </cfRule>
  </conditionalFormatting>
  <conditionalFormatting sqref="P11:P12">
    <cfRule type="cellIs" dxfId="510" priority="27" operator="lessThan">
      <formula>0</formula>
    </cfRule>
  </conditionalFormatting>
  <conditionalFormatting sqref="Q11:Q12">
    <cfRule type="cellIs" dxfId="509" priority="25" operator="greaterThan">
      <formula>1</formula>
    </cfRule>
    <cfRule type="cellIs" dxfId="508" priority="26" operator="lessThan">
      <formula>0.8</formula>
    </cfRule>
  </conditionalFormatting>
  <conditionalFormatting sqref="O53">
    <cfRule type="cellIs" dxfId="507" priority="19" operator="greaterThan">
      <formula>0</formula>
    </cfRule>
  </conditionalFormatting>
  <conditionalFormatting sqref="P53">
    <cfRule type="cellIs" dxfId="506" priority="22" operator="lessThan">
      <formula>0</formula>
    </cfRule>
  </conditionalFormatting>
  <conditionalFormatting sqref="Q53">
    <cfRule type="cellIs" dxfId="505" priority="20" operator="greaterThan">
      <formula>1</formula>
    </cfRule>
    <cfRule type="cellIs" dxfId="504" priority="21" operator="lessThan">
      <formula>0.8</formula>
    </cfRule>
  </conditionalFormatting>
  <conditionalFormatting sqref="R53 AG53">
    <cfRule type="cellIs" dxfId="503" priority="23" operator="lessThan">
      <formula>0.8</formula>
    </cfRule>
  </conditionalFormatting>
  <conditionalFormatting sqref="O57">
    <cfRule type="cellIs" dxfId="502" priority="14" operator="greaterThan">
      <formula>0</formula>
    </cfRule>
  </conditionalFormatting>
  <conditionalFormatting sqref="P57 AE57">
    <cfRule type="cellIs" dxfId="501" priority="17" operator="lessThan">
      <formula>0</formula>
    </cfRule>
  </conditionalFormatting>
  <conditionalFormatting sqref="Q57 AF57">
    <cfRule type="cellIs" dxfId="500" priority="15" operator="greaterThan">
      <formula>1</formula>
    </cfRule>
    <cfRule type="cellIs" dxfId="499" priority="16" operator="lessThan">
      <formula>0.8</formula>
    </cfRule>
  </conditionalFormatting>
  <conditionalFormatting sqref="R57 AG57">
    <cfRule type="cellIs" dxfId="498" priority="18" operator="lessThan">
      <formula>0.8</formula>
    </cfRule>
  </conditionalFormatting>
  <conditionalFormatting sqref="O56">
    <cfRule type="cellIs" dxfId="497" priority="9" operator="greaterThan">
      <formula>0</formula>
    </cfRule>
  </conditionalFormatting>
  <conditionalFormatting sqref="P56 AE56">
    <cfRule type="cellIs" dxfId="496" priority="12" operator="lessThan">
      <formula>0</formula>
    </cfRule>
  </conditionalFormatting>
  <conditionalFormatting sqref="Q56 AF56">
    <cfRule type="cellIs" dxfId="495" priority="10" operator="greaterThan">
      <formula>1</formula>
    </cfRule>
    <cfRule type="cellIs" dxfId="494" priority="11" operator="lessThan">
      <formula>0.8</formula>
    </cfRule>
  </conditionalFormatting>
  <conditionalFormatting sqref="R56 AG56">
    <cfRule type="cellIs" dxfId="493" priority="13" operator="lessThan">
      <formula>0.8</formula>
    </cfRule>
  </conditionalFormatting>
  <conditionalFormatting sqref="P9">
    <cfRule type="cellIs" dxfId="492" priority="8" operator="lessThan">
      <formula>0</formula>
    </cfRule>
  </conditionalFormatting>
  <conditionalFormatting sqref="P18">
    <cfRule type="cellIs" dxfId="491" priority="7" operator="lessThan">
      <formula>0</formula>
    </cfRule>
  </conditionalFormatting>
  <conditionalFormatting sqref="P25">
    <cfRule type="cellIs" dxfId="490" priority="6" operator="lessThan">
      <formula>0</formula>
    </cfRule>
  </conditionalFormatting>
  <conditionalFormatting sqref="P33">
    <cfRule type="cellIs" dxfId="489" priority="5" operator="lessThan">
      <formula>0</formula>
    </cfRule>
  </conditionalFormatting>
  <conditionalFormatting sqref="P46">
    <cfRule type="cellIs" dxfId="488" priority="4" operator="lessThan">
      <formula>0</formula>
    </cfRule>
  </conditionalFormatting>
  <conditionalFormatting sqref="P54">
    <cfRule type="cellIs" dxfId="487" priority="3" operator="lessThan">
      <formula>0</formula>
    </cfRule>
  </conditionalFormatting>
  <conditionalFormatting sqref="P61">
    <cfRule type="cellIs" dxfId="486" priority="2" operator="lessThan">
      <formula>0</formula>
    </cfRule>
  </conditionalFormatting>
  <conditionalFormatting sqref="P68">
    <cfRule type="cellIs" dxfId="485" priority="1" operator="lessThan">
      <formula>0</formula>
    </cfRule>
  </conditionalFormatting>
  <dataValidations count="1">
    <dataValidation type="list" allowBlank="1" showInputMessage="1" showErrorMessage="1" sqref="AB9 AA5:AB8 AB59:AB60 AB11:AB55 AA9:AA60 AA61:AB6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3" sqref="A3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723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724</v>
      </c>
      <c r="C3" s="555" t="str">
        <f>TEXT('0508 4度C'!A2,"yyyy.mm.ddaaaa")</f>
        <v>2026.05.08星期五</v>
      </c>
      <c r="D3" s="556"/>
      <c r="E3" s="54" t="s">
        <v>725</v>
      </c>
      <c r="F3" s="557">
        <f>'0508 4度C'!D1</f>
        <v>147933</v>
      </c>
      <c r="G3" s="558"/>
      <c r="H3" s="54" t="s">
        <v>726</v>
      </c>
      <c r="I3" s="559">
        <f>'0508 4度C'!F1</f>
        <v>5018403.28</v>
      </c>
      <c r="J3" s="560"/>
      <c r="K3" s="55"/>
      <c r="L3" s="56"/>
      <c r="M3" s="57"/>
      <c r="N3" s="57"/>
    </row>
    <row r="4" spans="2:17" ht="28.5" customHeight="1">
      <c r="B4" s="561" t="s">
        <v>727</v>
      </c>
      <c r="C4" s="547" t="s">
        <v>728</v>
      </c>
      <c r="D4" s="548"/>
      <c r="E4" s="564" t="s">
        <v>729</v>
      </c>
      <c r="F4" s="565"/>
      <c r="G4" s="564" t="s">
        <v>730</v>
      </c>
      <c r="H4" s="565"/>
      <c r="I4" s="564" t="s">
        <v>731</v>
      </c>
      <c r="J4" s="565"/>
      <c r="K4" s="545" t="s">
        <v>732</v>
      </c>
      <c r="L4" s="546"/>
      <c r="M4" s="546" t="s">
        <v>733</v>
      </c>
      <c r="N4" s="546"/>
    </row>
    <row r="5" spans="2:17" ht="28.5" customHeight="1">
      <c r="B5" s="562"/>
      <c r="C5" s="547" t="s">
        <v>734</v>
      </c>
      <c r="D5" s="548"/>
      <c r="E5" s="547" t="s">
        <v>735</v>
      </c>
      <c r="F5" s="548"/>
      <c r="G5" s="549" t="s">
        <v>736</v>
      </c>
      <c r="H5" s="550"/>
      <c r="I5" s="551" t="s">
        <v>737</v>
      </c>
      <c r="J5" s="552"/>
      <c r="K5" s="58" t="s">
        <v>738</v>
      </c>
      <c r="L5" s="59" t="s">
        <v>739</v>
      </c>
      <c r="M5" s="58" t="s">
        <v>738</v>
      </c>
      <c r="N5" s="59" t="s">
        <v>740</v>
      </c>
    </row>
    <row r="6" spans="2:17" ht="28.5" customHeight="1">
      <c r="B6" s="562"/>
      <c r="C6" s="547" t="s">
        <v>145</v>
      </c>
      <c r="D6" s="548"/>
      <c r="E6" s="539">
        <f>AVERAGE(D13:M13)</f>
        <v>152.48568120151228</v>
      </c>
      <c r="F6" s="540">
        <f>AVERAGE(D31:O31,D13:J13)</f>
        <v>157.12428415711267</v>
      </c>
      <c r="G6" s="541">
        <f>AVERAGE(D13:J13)</f>
        <v>157.12428415711267</v>
      </c>
      <c r="H6" s="542"/>
      <c r="I6" s="541">
        <f>AVERAGE(K13:M13)</f>
        <v>141.66227430511137</v>
      </c>
      <c r="J6" s="542"/>
      <c r="K6" s="543">
        <f>'0508 4度C'!Y2</f>
        <v>0</v>
      </c>
      <c r="L6" s="528">
        <f>'0508 4度C'!Z2</f>
        <v>0</v>
      </c>
      <c r="M6" s="544">
        <f>'0508 4度C'!AC2</f>
        <v>52</v>
      </c>
      <c r="N6" s="528">
        <f>'0508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146.46651263712795</v>
      </c>
      <c r="F7" s="532">
        <f>AVERAGE(D32:O32,D14:J14)</f>
        <v>151.18105518496472</v>
      </c>
      <c r="G7" s="533">
        <f>AVERAGE(D14:J14)</f>
        <v>151.18105518496472</v>
      </c>
      <c r="H7" s="534"/>
      <c r="I7" s="533">
        <f>AVERAGE(K14:M14)</f>
        <v>135.46591335884207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0.95883264455026074</v>
      </c>
      <c r="F8" s="536">
        <f>AVERAGE(D15:J15,D33:O33)</f>
        <v>0.95988425782057996</v>
      </c>
      <c r="G8" s="537">
        <f>AVERAGE(D15:J15)</f>
        <v>0.95988425782057996</v>
      </c>
      <c r="H8" s="538"/>
      <c r="I8" s="537">
        <f>AVERAGE(K15:M15)</f>
        <v>0.9563788802528489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741</v>
      </c>
      <c r="N9" s="57"/>
      <c r="O9" s="57"/>
      <c r="P9" s="57"/>
      <c r="Q9" s="57"/>
    </row>
    <row r="10" spans="2:17" ht="30" customHeight="1">
      <c r="B10" s="511" t="s">
        <v>312</v>
      </c>
      <c r="C10" s="512"/>
      <c r="D10" s="513" t="s">
        <v>742</v>
      </c>
      <c r="E10" s="514"/>
      <c r="F10" s="514"/>
      <c r="G10" s="514"/>
      <c r="H10" s="514"/>
      <c r="I10" s="514"/>
      <c r="J10" s="515"/>
      <c r="K10" s="516" t="s">
        <v>743</v>
      </c>
      <c r="L10" s="517"/>
      <c r="M10" s="518"/>
      <c r="P10" s="63"/>
      <c r="Q10" s="63"/>
    </row>
    <row r="11" spans="2:17" ht="17.25" customHeight="1">
      <c r="B11" s="519" t="s">
        <v>744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13</v>
      </c>
      <c r="C13" s="70" t="s">
        <v>745</v>
      </c>
      <c r="D13" s="71">
        <f>SUMIFS('0508 4度C'!$K:$K,'0508 4度C'!$A:$A,"新豐6線",'0508 4度C'!$B:$B,"平均")</f>
        <v>119.40298507462687</v>
      </c>
      <c r="E13" s="72">
        <f>SUMIFS('0508 4度C'!$K:$K,'0508 4度C'!$A:$A,"新豐2線",'0508 4度C'!$B:$B,"平均")</f>
        <v>83.333333333333329</v>
      </c>
      <c r="F13" s="73">
        <f>SUMIFS('0508 4度C'!$K:$K,'0508 4度C'!$A:$A,"新豐5線",'0508 4度C'!$B:$B,"平均")</f>
        <v>100</v>
      </c>
      <c r="G13" s="73">
        <f>SUMIFS('0508 4度C'!$K:$K,'0508 4度C'!$A:$A,"新豐7線",'0508 4度C'!$B:$B,"平均")</f>
        <v>121.05263157894737</v>
      </c>
      <c r="H13" s="73">
        <f>SUMIFS('0508 4度C'!$K:$K,'0508 4度C'!$A:$A,"新豐3線",'0508 4度C'!$B:$B,"平均")</f>
        <v>255.81395348837211</v>
      </c>
      <c r="I13" s="73">
        <f>SUMIFS('0508 4度C'!$K:$K,'0508 4度C'!$A:$A,"新豐1線",'0508 4度C'!$B:$B,"平均")</f>
        <v>104.47761194029852</v>
      </c>
      <c r="J13" s="74">
        <f>SUMIFS('0508 4度C'!$K:$K,'0508 4度C'!$A:$A,"新豐10線",'0508 4度C'!$B:$B,"平均")</f>
        <v>315.78947368421052</v>
      </c>
      <c r="K13" s="75">
        <f>SUMIFS('0508 4度C'!$K:$K,'0508 4度C'!$A:$A,"新豐8線",'0508 4度C'!$B:$B,"平均")</f>
        <v>141.1764705882353</v>
      </c>
      <c r="L13" s="76">
        <f>SUMIFS('0508 4度C'!$K:$K,'0508 4度C'!$A:$A,"新豐9線",'0508 4度C'!$B:$B,"平均")</f>
        <v>132.2314049586777</v>
      </c>
      <c r="M13" s="74">
        <f>SUMIFS('0508 4度C'!$K:$K,'0508 4度C'!$A:$A,"新豐4線",'0508 4度C'!$B:$B,"平均")</f>
        <v>151.57894736842104</v>
      </c>
    </row>
    <row r="14" spans="2:17" ht="39.6" customHeight="1">
      <c r="B14" s="524"/>
      <c r="C14" s="77" t="s">
        <v>746</v>
      </c>
      <c r="D14" s="78">
        <f>SUMIFS('0508 4度C'!$N:$N,'0508 4度C'!$A:$A,"新豐6線",'0508 4度C'!$B:$B,"平均")</f>
        <v>114.84815864098154</v>
      </c>
      <c r="E14" s="79">
        <f>SUMIFS('0508 4度C'!$N:$N,'0508 4度C'!$A:$A,"新豐2線",'0508 4度C'!$B:$B,"平均")</f>
        <v>79.330494168201341</v>
      </c>
      <c r="F14" s="79">
        <f>SUMIFS('0508 4度C'!$N:$N,'0508 4度C'!$A:$A,"新豐5線",'0508 4度C'!$B:$B,"平均")</f>
        <v>95.463200202490299</v>
      </c>
      <c r="G14" s="79">
        <f>SUMIFS('0508 4度C'!$N:$N,'0508 4度C'!$A:$A,"新豐7線",'0508 4度C'!$B:$B,"平均")</f>
        <v>116.14684595849153</v>
      </c>
      <c r="H14" s="79">
        <f>SUMIFS('0508 4度C'!$N:$N,'0508 4度C'!$A:$A,"新豐3線",'0508 4度C'!$B:$B,"平均")</f>
        <v>244.64032570273619</v>
      </c>
      <c r="I14" s="79">
        <f>SUMIFS('0508 4度C'!$N:$N,'0508 4度C'!$A:$A,"新豐1線",'0508 4度C'!$B:$B,"平均")</f>
        <v>100.46512117681539</v>
      </c>
      <c r="J14" s="80">
        <f>SUMIFS('0508 4度C'!$N:$N,'0508 4度C'!$A:$A,"新豐10線",'0508 4度C'!$B:$B,"平均")</f>
        <v>307.3732404450368</v>
      </c>
      <c r="K14" s="81">
        <f>SUMIFS('0508 4度C'!$N:$N,'0508 4度C'!$A:$A,"新豐8線",'0508 4度C'!$B:$B,"平均")</f>
        <v>135.00596181808385</v>
      </c>
      <c r="L14" s="82">
        <f>SUMIFS('0508 4度C'!$N:$N,'0508 4度C'!$A:$A,"新豐9線",'0508 4度C'!$B:$B,"平均")</f>
        <v>126.81586956305748</v>
      </c>
      <c r="M14" s="80">
        <f>SUMIFS('0508 4度C'!$N:$N,'0508 4度C'!$A:$A,"新豐4線",'0508 4度C'!$B:$B,"平均")</f>
        <v>144.5759086953849</v>
      </c>
    </row>
    <row r="15" spans="2:17" ht="40.15" customHeight="1">
      <c r="B15" s="525"/>
      <c r="C15" s="83" t="s">
        <v>747</v>
      </c>
      <c r="D15" s="84">
        <f t="shared" ref="D15:M15" si="0">D14/D13</f>
        <v>0.96185332861822037</v>
      </c>
      <c r="E15" s="85">
        <f t="shared" si="0"/>
        <v>0.95196593001841612</v>
      </c>
      <c r="F15" s="85">
        <f t="shared" si="0"/>
        <v>0.95463200202490295</v>
      </c>
      <c r="G15" s="85">
        <f t="shared" si="0"/>
        <v>0.95947394487449522</v>
      </c>
      <c r="H15" s="85">
        <f t="shared" si="0"/>
        <v>0.95632127320160509</v>
      </c>
      <c r="I15" s="85">
        <f t="shared" si="0"/>
        <v>0.96159473126380435</v>
      </c>
      <c r="J15" s="86">
        <f t="shared" si="0"/>
        <v>0.97334859474261659</v>
      </c>
      <c r="K15" s="84">
        <f t="shared" si="0"/>
        <v>0.95629222954476056</v>
      </c>
      <c r="L15" s="85">
        <f t="shared" si="0"/>
        <v>0.95904501357062211</v>
      </c>
      <c r="M15" s="86">
        <f t="shared" si="0"/>
        <v>0.95379939764316435</v>
      </c>
    </row>
    <row r="16" spans="2:17" ht="17.25" customHeight="1">
      <c r="B16" s="526" t="s">
        <v>748</v>
      </c>
      <c r="C16" s="87" t="s">
        <v>749</v>
      </c>
      <c r="D16" s="88">
        <f>VLOOKUP("新豐6線",'0508 4度C'!$A:$T,19,0)</f>
        <v>0.70833333333333337</v>
      </c>
      <c r="E16" s="89">
        <f>VLOOKUP("新豐2線",'0508 4度C'!$A:$T,19,0)</f>
        <v>0.20833333333333334</v>
      </c>
      <c r="F16" s="89">
        <f>VLOOKUP("新豐5線",'0508 4度C'!$A:$T,19,0)</f>
        <v>0.20833333333333334</v>
      </c>
      <c r="G16" s="89">
        <f>VLOOKUP("新豐7線",'0508 4度C'!$A:$T,19,0)</f>
        <v>0.20833333333333334</v>
      </c>
      <c r="H16" s="89">
        <f>VLOOKUP("新豐3線",'0508 4度C'!$A:$T,19,0)</f>
        <v>8.3333333333333329E-2</v>
      </c>
      <c r="I16" s="89">
        <f>VLOOKUP("新豐1線",'0508 4度C'!$A:$T,19,0)</f>
        <v>0.20833333333333334</v>
      </c>
      <c r="J16" s="90">
        <f>VLOOKUP("新豐10線",'0508 4度C'!$A:$T,19,0)</f>
        <v>0.20833333333333334</v>
      </c>
      <c r="K16" s="91">
        <f>VLOOKUP("新豐8線",'0508 4度C'!$A:$T,19,0)</f>
        <v>8.3333333333333329E-2</v>
      </c>
      <c r="L16" s="92">
        <f>VLOOKUP("新豐9線",'0508 4度C'!$A:$T,19,0)</f>
        <v>8.3333333333333329E-2</v>
      </c>
      <c r="M16" s="93">
        <f>VLOOKUP("新豐4線",'0508 4度C'!$A:$T,19,0)</f>
        <v>8.3333333333333329E-2</v>
      </c>
    </row>
    <row r="17" spans="2:13" ht="17.25" customHeight="1">
      <c r="B17" s="527"/>
      <c r="C17" s="87" t="s">
        <v>750</v>
      </c>
      <c r="D17" s="91">
        <f>LOOKUP(2,1/(('0508 4度C'!$A:$A="新豐6線")*('0508 4度C'!$T:$T&lt;&gt;"")),'0508 4度C'!$T:$T)</f>
        <v>0.83194444444444449</v>
      </c>
      <c r="E17" s="89">
        <f>LOOKUP(2,1/(('0508 4度C'!$A:$A="新豐2線")*('0508 4度C'!$T:$T&lt;&gt;"")),'0508 4度C'!$T:$T)</f>
        <v>0.5229166666666667</v>
      </c>
      <c r="F17" s="89">
        <f>LOOKUP(2,1/(('0508 4度C'!$A:$A="新豐5線")*('0508 4度C'!$T:$T&lt;&gt;"")),'0508 4度C'!$T:$T)</f>
        <v>0.81388888888888888</v>
      </c>
      <c r="G17" s="89">
        <f>LOOKUP(2,1/(('0508 4度C'!$A:$A="新豐7線")*('0508 4度C'!$T:$T&lt;&gt;"")),'0508 4度C'!$T:$T)</f>
        <v>0.79097222222222219</v>
      </c>
      <c r="H17" s="89">
        <f>LOOKUP(2,1/(('0508 4度C'!$A:$A="新豐3線")*('0508 4度C'!$T:$T&lt;&gt;"")),'0508 4度C'!$T:$T)</f>
        <v>0.40138888888888891</v>
      </c>
      <c r="I17" s="89">
        <f>LOOKUP(2,1/(('0508 4度C'!$A:$A="新豐1線")*('0508 4度C'!$T:$T&lt;&gt;"")),'0508 4度C'!$T:$T)</f>
        <v>0.79861111111111116</v>
      </c>
      <c r="J17" s="90">
        <f>LOOKUP(2,1/(('0508 4度C'!$A:$A="新豐10線")*('0508 4度C'!$T:$T&lt;&gt;"")),'0508 4度C'!$T:$T)</f>
        <v>0.37638888888888888</v>
      </c>
      <c r="K17" s="88">
        <f>LOOKUP(2,1/(('0508 4度C'!$A:$A="新豐8線")*('0508 4度C'!$T:$T&lt;&gt;"")),'0508 4度C'!$T:$T)</f>
        <v>0.63958333333333328</v>
      </c>
      <c r="L17" s="89">
        <f>LOOKUP(2,1/(('0508 4度C'!$A:$A="新豐9線")*('0508 4度C'!$T:$T&lt;&gt;"")),'0508 4度C'!$T:$T)</f>
        <v>0.63402777777777775</v>
      </c>
      <c r="M17" s="90">
        <f>LOOKUP(2,1/(('0508 4度C'!$A:$A="新豐4線")*('0508 4度C'!$T:$T&lt;&gt;"")),'0508 4度C'!$T:$T)</f>
        <v>0.60347222222222219</v>
      </c>
    </row>
    <row r="18" spans="2:13" ht="17.25" customHeight="1">
      <c r="B18" s="505" t="s">
        <v>751</v>
      </c>
      <c r="C18" s="94" t="s">
        <v>752</v>
      </c>
      <c r="D18" s="95">
        <f>SUMIFS('0508 4度C'!$Y:$Y,'0508 4度C'!$A:$A,"新豐6線",'0508 4度C'!$B:$B,"平均")</f>
        <v>0</v>
      </c>
      <c r="E18" s="96">
        <f>SUMIFS('0508 4度C'!$Y:$Y,'0508 4度C'!$A:$A,"新豐2線",'0508 4度C'!$B:$B,"平均")</f>
        <v>0</v>
      </c>
      <c r="F18" s="96">
        <f>SUMIFS('0508 4度C'!$Y:$Y,'0508 4度C'!$A:$A,"新豐5線",'0508 4度C'!$B:$B,"平均")</f>
        <v>0</v>
      </c>
      <c r="G18" s="96">
        <f>SUMIFS('0508 4度C'!$Y:$Y,'0508 4度C'!$A:$A,"新豐7線",'0508 4度C'!$B:$B,"平均")</f>
        <v>0</v>
      </c>
      <c r="H18" s="96">
        <f>SUMIFS('0508 4度C'!$Y:$Y,'0508 4度C'!$A:$A,"新豐3線",'0508 4度C'!$B:$B,"平均")</f>
        <v>0</v>
      </c>
      <c r="I18" s="96">
        <f>SUMIFS('0508 4度C'!$Y:$Y,'0508 4度C'!$A:$A,"新豐1線",'0508 4度C'!$B:$B,"平均")</f>
        <v>0</v>
      </c>
      <c r="J18" s="97">
        <f>SUMIFS('0508 4度C'!$Y:$Y,'0508 4度C'!$A:$A,"新豐10線",'0508 4度C'!$B:$B,"平均")</f>
        <v>0</v>
      </c>
      <c r="K18" s="98">
        <f>SUMIFS('0508 4度C'!$Y:$Y,'0508 4度C'!$A:$A,"新豐8線",'0508 4度C'!$B:$B,"平均")</f>
        <v>0</v>
      </c>
      <c r="L18" s="96">
        <f>SUMIFS('0508 4度C'!$Y:$Y,'0508 4度C'!$A:$A,"新豐9線",'0508 4度C'!$B:$B,"平均")</f>
        <v>0</v>
      </c>
      <c r="M18" s="97">
        <f>SUMIFS('0508 4度C'!$Y:$Y,'0508 4度C'!$A:$A,"新豐4線",'0508 4度C'!$B:$B,"平均")</f>
        <v>0</v>
      </c>
    </row>
    <row r="19" spans="2:13" ht="17.25" customHeight="1">
      <c r="B19" s="506"/>
      <c r="C19" s="94" t="s">
        <v>753</v>
      </c>
      <c r="D19" s="95">
        <f>SUMIFS('0508 4度C'!$Z:$Z,'0508 4度C'!$A:$A,"新豐6線",'0508 4度C'!$B:$B,"平均")</f>
        <v>0</v>
      </c>
      <c r="E19" s="96">
        <f>SUMIFS('0508 4度C'!$Z:$Z,'0508 4度C'!$A:$A,"新豐2線",'0508 4度C'!$B:$B,"平均")</f>
        <v>0</v>
      </c>
      <c r="F19" s="96">
        <f>SUMIFS('0508 4度C'!$Z:$Z,'0508 4度C'!$A:$A,"新豐5線",'0508 4度C'!$B:$B,"平均")</f>
        <v>0</v>
      </c>
      <c r="G19" s="96">
        <f>SUMIFS('0508 4度C'!$Z:$Z,'0508 4度C'!$A:$A,"新豐7線",'0508 4度C'!$B:$B,"平均")</f>
        <v>0</v>
      </c>
      <c r="H19" s="96">
        <f>SUMIFS('0508 4度C'!$Z:$Z,'0508 4度C'!$A:$A,"新豐3線",'0508 4度C'!$B:$B,"平均")</f>
        <v>0</v>
      </c>
      <c r="I19" s="96">
        <f>SUMIFS('0508 4度C'!$Z:$Z,'0508 4度C'!$A:$A,"新豐1線",'0508 4度C'!$B:$B,"平均")</f>
        <v>0</v>
      </c>
      <c r="J19" s="97">
        <f>SUMIFS('0508 4度C'!$Z:$Z,'0508 4度C'!$A:$A,"新豐10線",'0508 4度C'!$B:$B,"平均")</f>
        <v>0</v>
      </c>
      <c r="K19" s="98">
        <f>SUMIFS('0508 4度C'!$Z:$Z,'0508 4度C'!$A:$A,"新豐8線",'0508 4度C'!$B:$B,"平均")</f>
        <v>0</v>
      </c>
      <c r="L19" s="96">
        <f>SUMIFS('0508 4度C'!$Z:$Z,'0508 4度C'!$A:$A,"新豐9線",'0508 4度C'!$B:$B,"平均")</f>
        <v>0</v>
      </c>
      <c r="M19" s="97">
        <f>SUMIFS('0508 4度C'!$Z:$Z,'0508 4度C'!$A:$A,"新豐4線",'0508 4度C'!$B:$B,"平均")</f>
        <v>0</v>
      </c>
    </row>
    <row r="20" spans="2:13" ht="17.25" customHeight="1">
      <c r="B20" s="505" t="s">
        <v>754</v>
      </c>
      <c r="C20" s="94" t="s">
        <v>752</v>
      </c>
      <c r="D20" s="95">
        <f>SUMIFS('0508 4度C'!$AC:$AC,'0508 4度C'!$A:$A,"新豐6線",'0508 4度C'!$B:$B,"平均")</f>
        <v>4</v>
      </c>
      <c r="E20" s="96">
        <f>SUMIFS('0508 4度C'!$AC:$AC,'0508 4度C'!$A:$A,"新豐2線",'0508 4度C'!$B:$B,"平均")</f>
        <v>2</v>
      </c>
      <c r="F20" s="96">
        <f>SUMIFS('0508 4度C'!$AC:$AC,'0508 4度C'!$A:$A,"新豐5線",'0508 4度C'!$B:$B,"平均")</f>
        <v>4</v>
      </c>
      <c r="G20" s="96">
        <f>SUMIFS('0508 4度C'!$AC:$AC,'0508 4度C'!$A:$A,"新豐7線",'0508 4度C'!$B:$B,"平均")</f>
        <v>6</v>
      </c>
      <c r="H20" s="96">
        <f>SUMIFS('0508 4度C'!$AC:$AC,'0508 4度C'!$A:$A,"新豐3線",'0508 4度C'!$B:$B,"平均")</f>
        <v>4</v>
      </c>
      <c r="I20" s="96">
        <f>SUMIFS('0508 4度C'!$AC:$AC,'0508 4度C'!$A:$A,"新豐1線",'0508 4度C'!$B:$B,"平均")</f>
        <v>7</v>
      </c>
      <c r="J20" s="97">
        <f>SUMIFS('0508 4度C'!$AC:$AC,'0508 4度C'!$A:$A,"新豐10線",'0508 4度C'!$B:$B,"平均")</f>
        <v>6</v>
      </c>
      <c r="K20" s="98">
        <f>SUMIFS('0508 4度C'!$AC:$AC,'0508 4度C'!$A:$A,"新豐8線",'0508 4度C'!$B:$B,"平均")</f>
        <v>6</v>
      </c>
      <c r="L20" s="96">
        <f>SUMIFS('0508 4度C'!$AC:$AC,'0508 4度C'!$A:$A,"新豐9線",'0508 4度C'!$B:$B,"平均")</f>
        <v>7</v>
      </c>
      <c r="M20" s="97">
        <f>SUMIFS('0508 4度C'!$AC:$AC,'0508 4度C'!$A:$A,"新豐4線",'0508 4度C'!$B:$B,"平均")</f>
        <v>6</v>
      </c>
    </row>
    <row r="21" spans="2:13" ht="17.25" customHeight="1">
      <c r="B21" s="506"/>
      <c r="C21" s="94" t="s">
        <v>174</v>
      </c>
      <c r="D21" s="95">
        <f>SUMIFS('0508 4度C'!$AD:$AD,'0508 4度C'!$A:$A,"新豐6線",'0508 4度C'!$B:$B,"平均")</f>
        <v>0</v>
      </c>
      <c r="E21" s="96">
        <f>SUMIFS('0508 4度C'!$AD:$AD,'0508 4度C'!$A:$A,"新豐2線",'0508 4度C'!$B:$B,"平均")</f>
        <v>0</v>
      </c>
      <c r="F21" s="96">
        <f>SUMIFS('0508 4度C'!$AD:$AD,'0508 4度C'!$A:$A,"新豐5線",'0508 4度C'!$B:$B,"平均")</f>
        <v>0</v>
      </c>
      <c r="G21" s="96">
        <f>SUMIFS('0508 4度C'!$AD:$AD,'0508 4度C'!$A:$A,"新豐7線",'0508 4度C'!$B:$B,"平均")</f>
        <v>0</v>
      </c>
      <c r="H21" s="96">
        <f>SUMIFS('0508 4度C'!$AD:$AD,'0508 4度C'!$A:$A,"新豐3線",'0508 4度C'!$B:$B,"平均")</f>
        <v>0</v>
      </c>
      <c r="I21" s="96">
        <f>SUMIFS('0508 4度C'!$AD:$AD,'0508 4度C'!$A:$A,"新豐1線",'0508 4度C'!$B:$B,"平均")</f>
        <v>0</v>
      </c>
      <c r="J21" s="97">
        <f>SUMIFS('0508 4度C'!$AD:$AD,'0508 4度C'!$A:$A,"新豐10線",'0508 4度C'!$B:$B,"平均")</f>
        <v>0</v>
      </c>
      <c r="K21" s="98">
        <f>SUMIFS('0508 4度C'!$AD:$AD,'0508 4度C'!$A:$A,"新豐8線",'0508 4度C'!$B:$B,"平均")</f>
        <v>0</v>
      </c>
      <c r="L21" s="96">
        <f>SUMIFS('0508 4度C'!$AD:$AD,'0508 4度C'!$A:$A,"新豐9線",'0508 4度C'!$B:$B,"平均")</f>
        <v>0</v>
      </c>
      <c r="M21" s="97">
        <f>SUMIFS('0508 4度C'!$AD:$AD,'0508 4度C'!$A:$A,"新豐4線",'0508 4度C'!$B:$B,"平均")</f>
        <v>0</v>
      </c>
    </row>
    <row r="22" spans="2:13" ht="17.25" customHeight="1">
      <c r="B22" s="507" t="s">
        <v>755</v>
      </c>
      <c r="C22" s="508"/>
      <c r="D22" s="99">
        <f>SUMIFS('0508 4度C'!$I:$I,'0508 4度C'!$A:$A,"新豐6線",'0508 4度C'!$B:$B,"平均")</f>
        <v>16.75</v>
      </c>
      <c r="E22" s="100">
        <f>SUMIFS('0508 4度C'!$I:$I,'0508 4度C'!$A:$A,"新豐2線",'0508 4度C'!$B:$B,"平均")</f>
        <v>18</v>
      </c>
      <c r="F22" s="100">
        <f>SUMIFS('0508 4度C'!$I:$I,'0508 4度C'!$A:$A,"新豐5線",'0508 4度C'!$B:$B,"平均")</f>
        <v>17.5</v>
      </c>
      <c r="G22" s="100">
        <f>SUMIFS('0508 4度C'!$I:$I,'0508 4度C'!$A:$A,"新豐7線",'0508 4度C'!$B:$B,"平均")</f>
        <v>15.833333333333334</v>
      </c>
      <c r="H22" s="100">
        <f>SUMIFS('0508 4度C'!$I:$I,'0508 4度C'!$A:$A,"新豐3線",'0508 4度C'!$B:$B,"平均")</f>
        <v>10.75</v>
      </c>
      <c r="I22" s="100">
        <f>SUMIFS('0508 4度C'!$I:$I,'0508 4度C'!$A:$A,"新豐1線",'0508 4度C'!$B:$B,"平均")</f>
        <v>19.142857142857142</v>
      </c>
      <c r="J22" s="101">
        <f>SUMIFS('0508 4度C'!$I:$I,'0508 4度C'!$A:$A,"新豐10線",'0508 4度C'!$B:$B,"平均")</f>
        <v>9.5</v>
      </c>
      <c r="K22" s="99">
        <f>SUMIFS('0508 4度C'!$I:$I,'0508 4度C'!$A:$A,"新豐8線",'0508 4度C'!$B:$B,"平均")</f>
        <v>17</v>
      </c>
      <c r="L22" s="100">
        <f>SUMIFS('0508 4度C'!$I:$I,'0508 4度C'!$A:$A,"新豐9線",'0508 4度C'!$B:$B,"平均")</f>
        <v>17.285714285714285</v>
      </c>
      <c r="M22" s="101">
        <f>SUMIFS('0508 4度C'!$I:$I,'0508 4度C'!$A:$A,"新豐4線",'0508 4度C'!$B:$B,"平均")</f>
        <v>15.833333333333334</v>
      </c>
    </row>
    <row r="23" spans="2:13" ht="17.25" customHeight="1">
      <c r="B23" s="507" t="s">
        <v>756</v>
      </c>
      <c r="C23" s="508"/>
      <c r="D23" s="102" t="s">
        <v>177</v>
      </c>
      <c r="E23" s="103" t="s">
        <v>178</v>
      </c>
      <c r="F23" s="103" t="s">
        <v>757</v>
      </c>
      <c r="G23" s="103" t="s">
        <v>757</v>
      </c>
      <c r="H23" s="103" t="s">
        <v>180</v>
      </c>
      <c r="I23" s="103" t="s">
        <v>177</v>
      </c>
      <c r="J23" s="104" t="s">
        <v>180</v>
      </c>
      <c r="K23" s="102" t="s">
        <v>758</v>
      </c>
      <c r="L23" s="103" t="s">
        <v>758</v>
      </c>
      <c r="M23" s="104" t="s">
        <v>758</v>
      </c>
    </row>
    <row r="24" spans="2:13" ht="17.25" customHeight="1">
      <c r="B24" s="507" t="s">
        <v>759</v>
      </c>
      <c r="C24" s="508"/>
      <c r="D24" s="102"/>
      <c r="E24" s="103"/>
      <c r="F24" s="103" t="s">
        <v>760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761</v>
      </c>
      <c r="C25" s="510"/>
      <c r="D25" s="105"/>
      <c r="E25" s="106" t="s">
        <v>762</v>
      </c>
      <c r="F25" s="503" t="s">
        <v>763</v>
      </c>
      <c r="G25" s="504"/>
      <c r="H25" s="106" t="s">
        <v>764</v>
      </c>
      <c r="I25" s="106" t="s">
        <v>765</v>
      </c>
      <c r="J25" s="107" t="s">
        <v>764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48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7"/>
  <sheetViews>
    <sheetView zoomScale="80" zoomScaleNormal="80" workbookViewId="0">
      <pane ySplit="4" topLeftCell="A5" activePane="bottomLeft" state="frozen"/>
      <selection activeCell="A9" sqref="A9"/>
      <selection pane="bottomLeft" activeCell="A5" sqref="A5:A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766</v>
      </c>
      <c r="B1" s="1"/>
      <c r="C1" s="2" t="s">
        <v>1</v>
      </c>
      <c r="D1" s="3">
        <f>SUM(F5:F66)</f>
        <v>147933</v>
      </c>
      <c r="E1" s="165" t="s">
        <v>767</v>
      </c>
      <c r="F1" s="1">
        <f>SUM(G5:G66)</f>
        <v>5018403.28</v>
      </c>
      <c r="G1" s="1" t="s">
        <v>768</v>
      </c>
      <c r="H1" s="5">
        <f>L9+L12+L44+L52+L17+L59+L31+L39+L24+L66</f>
        <v>157.5952380952381</v>
      </c>
      <c r="I1" s="617" t="s">
        <v>769</v>
      </c>
      <c r="J1" s="617"/>
      <c r="K1" s="617"/>
      <c r="L1" s="617" t="s">
        <v>770</v>
      </c>
      <c r="M1" s="617"/>
      <c r="N1" s="617"/>
      <c r="O1" s="617" t="s">
        <v>771</v>
      </c>
      <c r="P1" s="617"/>
      <c r="Q1" s="617"/>
      <c r="R1" s="617"/>
      <c r="S1" s="617" t="s">
        <v>772</v>
      </c>
      <c r="T1" s="617"/>
      <c r="U1" s="617"/>
      <c r="V1" s="617"/>
      <c r="W1" s="617"/>
      <c r="X1" s="617"/>
      <c r="Y1" s="6" t="s">
        <v>773</v>
      </c>
      <c r="Z1" s="7" t="s">
        <v>774</v>
      </c>
      <c r="AA1" s="618" t="s">
        <v>775</v>
      </c>
      <c r="AB1" s="618"/>
      <c r="AC1" s="8" t="s">
        <v>773</v>
      </c>
      <c r="AD1" s="7" t="s">
        <v>776</v>
      </c>
      <c r="AE1" s="617" t="s">
        <v>777</v>
      </c>
      <c r="AF1" s="619"/>
      <c r="AG1" s="619"/>
    </row>
    <row r="2" spans="1:33" ht="26.25" customHeight="1">
      <c r="A2" s="37">
        <v>46150</v>
      </c>
      <c r="B2" s="38" t="s">
        <v>73</v>
      </c>
      <c r="C2" s="2" t="s">
        <v>778</v>
      </c>
      <c r="D2" s="10">
        <f>AVERAGE(N9,N12,N44,N52,N17,N59,N24,N31,N39,N66)</f>
        <v>146.46651263712795</v>
      </c>
      <c r="E2" s="11" t="s">
        <v>14</v>
      </c>
      <c r="F2" s="12">
        <f>F1/D1</f>
        <v>33.923487524757832</v>
      </c>
      <c r="G2" s="1" t="s">
        <v>250</v>
      </c>
      <c r="H2" s="164">
        <f>COUNT(H5:H66)</f>
        <v>5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SUM(Y9+Y12+Y17+Y24+Y31+Y39+Y44+Y52+Y59+Y66)</f>
        <v>0</v>
      </c>
      <c r="Z2" s="14">
        <f>SUM(Z9+Z12+Z17+Z24+Z31+Z39+Z44+Z52+Z59+Z66)</f>
        <v>0</v>
      </c>
      <c r="AA2" s="618"/>
      <c r="AB2" s="618"/>
      <c r="AC2" s="14">
        <v>52</v>
      </c>
      <c r="AD2" s="14">
        <f>SUM(AD9+AD12+AD17+AD24+AD31+AD39+AD44+AD52+AD59+AD66)</f>
        <v>0</v>
      </c>
      <c r="AE2" s="619"/>
      <c r="AF2" s="619"/>
      <c r="AG2" s="619"/>
    </row>
    <row r="3" spans="1:33" ht="40.5" customHeight="1">
      <c r="A3" s="575" t="s">
        <v>779</v>
      </c>
      <c r="B3" s="575" t="s">
        <v>252</v>
      </c>
      <c r="C3" s="575" t="s">
        <v>586</v>
      </c>
      <c r="D3" s="575"/>
      <c r="E3" s="615" t="s">
        <v>254</v>
      </c>
      <c r="F3" s="575" t="s">
        <v>780</v>
      </c>
      <c r="G3" s="615" t="s">
        <v>21</v>
      </c>
      <c r="H3" s="608" t="s">
        <v>362</v>
      </c>
      <c r="I3" s="606" t="s">
        <v>781</v>
      </c>
      <c r="J3" s="603" t="s">
        <v>24</v>
      </c>
      <c r="K3" s="613" t="s">
        <v>782</v>
      </c>
      <c r="L3" s="606" t="s">
        <v>258</v>
      </c>
      <c r="M3" s="603" t="s">
        <v>24</v>
      </c>
      <c r="N3" s="613" t="s">
        <v>13</v>
      </c>
      <c r="O3" s="606" t="s">
        <v>258</v>
      </c>
      <c r="P3" s="613" t="s">
        <v>13</v>
      </c>
      <c r="Q3" s="604" t="s">
        <v>35</v>
      </c>
      <c r="R3" s="582" t="s">
        <v>261</v>
      </c>
      <c r="S3" s="614" t="s">
        <v>28</v>
      </c>
      <c r="T3" s="614"/>
      <c r="U3" s="608" t="s">
        <v>29</v>
      </c>
      <c r="V3" s="608" t="s">
        <v>783</v>
      </c>
      <c r="W3" s="575" t="s">
        <v>784</v>
      </c>
      <c r="X3" s="575"/>
      <c r="Y3" s="609" t="s">
        <v>785</v>
      </c>
      <c r="Z3" s="572"/>
      <c r="AA3" s="610" t="s">
        <v>786</v>
      </c>
      <c r="AB3" s="611"/>
      <c r="AC3" s="609" t="s">
        <v>787</v>
      </c>
      <c r="AD3" s="572"/>
      <c r="AE3" s="603" t="s">
        <v>788</v>
      </c>
      <c r="AF3" s="604" t="s">
        <v>789</v>
      </c>
      <c r="AG3" s="582" t="s">
        <v>790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170" t="s">
        <v>36</v>
      </c>
      <c r="T4" s="170" t="s">
        <v>37</v>
      </c>
      <c r="U4" s="608"/>
      <c r="V4" s="608"/>
      <c r="W4" s="165" t="s">
        <v>791</v>
      </c>
      <c r="X4" s="165" t="s">
        <v>792</v>
      </c>
      <c r="Y4" s="169" t="s">
        <v>793</v>
      </c>
      <c r="Z4" s="169" t="s">
        <v>794</v>
      </c>
      <c r="AA4" s="612"/>
      <c r="AB4" s="611"/>
      <c r="AC4" s="169" t="s">
        <v>795</v>
      </c>
      <c r="AD4" s="169" t="s">
        <v>796</v>
      </c>
      <c r="AE4" s="603"/>
      <c r="AF4" s="604"/>
      <c r="AG4" s="582"/>
    </row>
    <row r="5" spans="1:33">
      <c r="A5" s="605" t="s">
        <v>797</v>
      </c>
      <c r="B5" s="39" t="s">
        <v>74</v>
      </c>
      <c r="C5" s="607" t="s">
        <v>75</v>
      </c>
      <c r="D5" s="607"/>
      <c r="E5" s="39">
        <v>50.67</v>
      </c>
      <c r="F5" s="170">
        <v>1151</v>
      </c>
      <c r="G5" s="165">
        <f t="shared" ref="G5:G8" si="0">E5*F5</f>
        <v>58321.170000000006</v>
      </c>
      <c r="H5" s="48" t="s">
        <v>126</v>
      </c>
      <c r="I5" s="166">
        <v>17</v>
      </c>
      <c r="J5" s="43">
        <v>2000</v>
      </c>
      <c r="K5" s="18">
        <f t="shared" ref="K5:K66" si="1">J5/I5</f>
        <v>117.64705882352941</v>
      </c>
      <c r="L5" s="166">
        <v>17</v>
      </c>
      <c r="M5" s="19">
        <f t="shared" ref="M5:M8" si="2">F5/V5*60</f>
        <v>1918.3333333333319</v>
      </c>
      <c r="N5" s="18">
        <f t="shared" ref="N5:N66" si="3">M5/L5</f>
        <v>112.84313725490188</v>
      </c>
      <c r="O5" s="20">
        <f t="shared" ref="O5:O66" si="4">L5-I5</f>
        <v>0</v>
      </c>
      <c r="P5" s="21">
        <f t="shared" ref="P5:P66" si="5">N5-K5</f>
        <v>-4.8039215686275298</v>
      </c>
      <c r="Q5" s="167">
        <f t="shared" ref="Q5:Q66" si="6">N5/K5</f>
        <v>0.95916666666666595</v>
      </c>
      <c r="R5" s="573">
        <f>Q9</f>
        <v>0.96185332861822037</v>
      </c>
      <c r="S5" s="49">
        <v>0.70833333333333337</v>
      </c>
      <c r="T5" s="49">
        <v>0.73333333333333339</v>
      </c>
      <c r="U5" s="165"/>
      <c r="V5" s="168">
        <f t="shared" ref="V5:V8" si="7">(T5-S5)*24*60</f>
        <v>36.000000000000028</v>
      </c>
      <c r="W5" s="25"/>
      <c r="X5" s="26"/>
      <c r="Y5" s="26"/>
      <c r="Z5" s="26"/>
      <c r="AA5" s="575"/>
      <c r="AB5" s="575"/>
      <c r="AC5" s="50">
        <v>4</v>
      </c>
      <c r="AD5" s="27"/>
      <c r="AE5" s="20">
        <f t="shared" ref="AE5:AE51" si="8">M5-J5</f>
        <v>-81.666666666668107</v>
      </c>
      <c r="AF5" s="167">
        <f t="shared" ref="AF5:AF66" si="9">M5/J5</f>
        <v>0.95916666666666595</v>
      </c>
      <c r="AG5" s="573">
        <f>AF9</f>
        <v>0.96185332861822037</v>
      </c>
    </row>
    <row r="6" spans="1:33">
      <c r="A6" s="606" t="s">
        <v>44</v>
      </c>
      <c r="B6" s="39" t="s">
        <v>74</v>
      </c>
      <c r="C6" s="607" t="s">
        <v>76</v>
      </c>
      <c r="D6" s="607"/>
      <c r="E6" s="39">
        <v>54.09</v>
      </c>
      <c r="F6" s="170">
        <v>984</v>
      </c>
      <c r="G6" s="165">
        <f t="shared" si="0"/>
        <v>53224.560000000005</v>
      </c>
      <c r="H6" s="48" t="s">
        <v>126</v>
      </c>
      <c r="I6" s="166">
        <v>19</v>
      </c>
      <c r="J6" s="43">
        <v>2000</v>
      </c>
      <c r="K6" s="18">
        <f t="shared" si="1"/>
        <v>105.26315789473684</v>
      </c>
      <c r="L6" s="166">
        <v>19</v>
      </c>
      <c r="M6" s="19">
        <f t="shared" si="2"/>
        <v>1904.5161290322551</v>
      </c>
      <c r="N6" s="18">
        <f t="shared" si="3"/>
        <v>100.23769100169764</v>
      </c>
      <c r="O6" s="20">
        <f t="shared" si="4"/>
        <v>0</v>
      </c>
      <c r="P6" s="21">
        <f t="shared" si="5"/>
        <v>-5.0254668930391944</v>
      </c>
      <c r="Q6" s="167">
        <f t="shared" si="6"/>
        <v>0.9522580645161276</v>
      </c>
      <c r="R6" s="573"/>
      <c r="S6" s="49">
        <v>0.73888888888888893</v>
      </c>
      <c r="T6" s="49">
        <v>0.76041666666666674</v>
      </c>
      <c r="U6" s="165">
        <f t="shared" ref="U6:U8" si="10">IF(S6=TIME(17,0,0),"",(S6-T5)*24*60)</f>
        <v>7.9999999999999716</v>
      </c>
      <c r="V6" s="168">
        <f t="shared" si="7"/>
        <v>31.00000000000005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-95.483870967744906</v>
      </c>
      <c r="AF6" s="167">
        <f t="shared" si="9"/>
        <v>0.9522580645161276</v>
      </c>
      <c r="AG6" s="573"/>
    </row>
    <row r="7" spans="1:33">
      <c r="A7" s="606" t="s">
        <v>44</v>
      </c>
      <c r="B7" s="39" t="s">
        <v>74</v>
      </c>
      <c r="C7" s="598" t="s">
        <v>77</v>
      </c>
      <c r="D7" s="599"/>
      <c r="E7" s="39">
        <v>50.67</v>
      </c>
      <c r="F7" s="170">
        <v>1326</v>
      </c>
      <c r="G7" s="165">
        <f t="shared" si="0"/>
        <v>67188.42</v>
      </c>
      <c r="H7" s="48" t="s">
        <v>126</v>
      </c>
      <c r="I7" s="166">
        <v>15</v>
      </c>
      <c r="J7" s="43">
        <v>2000</v>
      </c>
      <c r="K7" s="18">
        <f t="shared" si="1"/>
        <v>133.33333333333334</v>
      </c>
      <c r="L7" s="166">
        <v>15</v>
      </c>
      <c r="M7" s="19">
        <f t="shared" si="2"/>
        <v>1940.4878048780481</v>
      </c>
      <c r="N7" s="18">
        <f t="shared" si="3"/>
        <v>129.36585365853654</v>
      </c>
      <c r="O7" s="20">
        <f t="shared" si="4"/>
        <v>0</v>
      </c>
      <c r="P7" s="21">
        <f t="shared" si="5"/>
        <v>-3.967479674796806</v>
      </c>
      <c r="Q7" s="167">
        <f t="shared" si="6"/>
        <v>0.97024390243902392</v>
      </c>
      <c r="R7" s="573"/>
      <c r="S7" s="49">
        <v>0.76597222222222228</v>
      </c>
      <c r="T7" s="49">
        <v>0.79444444444444451</v>
      </c>
      <c r="U7" s="165">
        <f t="shared" si="10"/>
        <v>7.9999999999999716</v>
      </c>
      <c r="V7" s="168">
        <f t="shared" si="7"/>
        <v>41.000000000000014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-59.512195121951891</v>
      </c>
      <c r="AF7" s="167">
        <f t="shared" si="9"/>
        <v>0.97024390243902403</v>
      </c>
      <c r="AG7" s="573"/>
    </row>
    <row r="8" spans="1:33">
      <c r="A8" s="606" t="s">
        <v>798</v>
      </c>
      <c r="B8" s="39" t="s">
        <v>74</v>
      </c>
      <c r="C8" s="598" t="s">
        <v>78</v>
      </c>
      <c r="D8" s="599"/>
      <c r="E8" s="39">
        <v>52.86</v>
      </c>
      <c r="F8" s="170">
        <v>1513</v>
      </c>
      <c r="G8" s="165">
        <f t="shared" si="0"/>
        <v>79977.179999999993</v>
      </c>
      <c r="H8" s="48" t="s">
        <v>126</v>
      </c>
      <c r="I8" s="166">
        <v>16</v>
      </c>
      <c r="J8" s="43">
        <v>2000</v>
      </c>
      <c r="K8" s="18">
        <f t="shared" si="1"/>
        <v>125</v>
      </c>
      <c r="L8" s="166">
        <v>16</v>
      </c>
      <c r="M8" s="19">
        <f t="shared" si="2"/>
        <v>1931.489361702128</v>
      </c>
      <c r="N8" s="18">
        <f t="shared" si="3"/>
        <v>120.718085106383</v>
      </c>
      <c r="O8" s="20">
        <f t="shared" si="4"/>
        <v>0</v>
      </c>
      <c r="P8" s="21">
        <f t="shared" si="5"/>
        <v>-4.2819148936169995</v>
      </c>
      <c r="Q8" s="167">
        <f t="shared" si="6"/>
        <v>0.96574468085106402</v>
      </c>
      <c r="R8" s="573"/>
      <c r="S8" s="49">
        <v>0.7993055555555556</v>
      </c>
      <c r="T8" s="49">
        <v>0.83194444444444449</v>
      </c>
      <c r="U8" s="165">
        <f t="shared" si="10"/>
        <v>6.9999999999999751</v>
      </c>
      <c r="V8" s="168">
        <f t="shared" si="7"/>
        <v>46.999999999999993</v>
      </c>
      <c r="W8" s="30"/>
      <c r="X8" s="30"/>
      <c r="Y8" s="31"/>
      <c r="Z8" s="31"/>
      <c r="AA8" s="568"/>
      <c r="AB8" s="569"/>
      <c r="AC8" s="50"/>
      <c r="AD8" s="29"/>
      <c r="AE8" s="20">
        <f t="shared" si="8"/>
        <v>-68.510638297871992</v>
      </c>
      <c r="AF8" s="167">
        <f t="shared" si="9"/>
        <v>0.96574468085106402</v>
      </c>
      <c r="AG8" s="573"/>
    </row>
    <row r="9" spans="1:33">
      <c r="A9" s="606" t="s">
        <v>44</v>
      </c>
      <c r="B9" s="39" t="s">
        <v>46</v>
      </c>
      <c r="C9" s="576"/>
      <c r="D9" s="576"/>
      <c r="E9" s="172"/>
      <c r="F9" s="42"/>
      <c r="G9" s="18"/>
      <c r="H9" s="170"/>
      <c r="I9" s="32">
        <v>16.75</v>
      </c>
      <c r="J9" s="43">
        <v>2000</v>
      </c>
      <c r="K9" s="18">
        <f t="shared" si="1"/>
        <v>119.40298507462687</v>
      </c>
      <c r="L9" s="32">
        <v>16.75</v>
      </c>
      <c r="M9" s="19">
        <f>AVERAGE(M5:M8)</f>
        <v>1923.7066572364408</v>
      </c>
      <c r="N9" s="18">
        <f t="shared" si="3"/>
        <v>114.84815864098154</v>
      </c>
      <c r="O9" s="20">
        <f t="shared" si="4"/>
        <v>0</v>
      </c>
      <c r="P9" s="21">
        <f t="shared" si="5"/>
        <v>-4.5548264336453315</v>
      </c>
      <c r="Q9" s="167">
        <f t="shared" si="6"/>
        <v>0.96185332861822037</v>
      </c>
      <c r="R9" s="573"/>
      <c r="S9" s="49"/>
      <c r="T9" s="49"/>
      <c r="U9" s="165"/>
      <c r="V9" s="168"/>
      <c r="W9" s="18"/>
      <c r="X9" s="18"/>
      <c r="Y9" s="33">
        <f>SUM(Y5:Y8)</f>
        <v>0</v>
      </c>
      <c r="Z9" s="33">
        <f>SUM(Z5:Z8)</f>
        <v>0</v>
      </c>
      <c r="AA9" s="572"/>
      <c r="AB9" s="572"/>
      <c r="AC9" s="33">
        <v>4</v>
      </c>
      <c r="AD9" s="33">
        <f>SUM(AD5:AD8)</f>
        <v>0</v>
      </c>
      <c r="AE9" s="20">
        <f t="shared" si="8"/>
        <v>-76.293342763559167</v>
      </c>
      <c r="AF9" s="167">
        <f t="shared" si="9"/>
        <v>0.96185332861822037</v>
      </c>
      <c r="AG9" s="573"/>
    </row>
    <row r="10" spans="1:33" ht="15.75" customHeight="1">
      <c r="A10" s="602" t="s">
        <v>47</v>
      </c>
      <c r="B10" s="39" t="s">
        <v>79</v>
      </c>
      <c r="C10" s="598" t="s">
        <v>80</v>
      </c>
      <c r="D10" s="599"/>
      <c r="E10" s="39">
        <v>39.619999999999997</v>
      </c>
      <c r="F10" s="170">
        <v>4309</v>
      </c>
      <c r="G10" s="165">
        <f t="shared" ref="G10:G11" si="11">E10*F10</f>
        <v>170722.58</v>
      </c>
      <c r="H10" s="48" t="s">
        <v>126</v>
      </c>
      <c r="I10" s="166">
        <v>19</v>
      </c>
      <c r="J10" s="43">
        <v>1500</v>
      </c>
      <c r="K10" s="18">
        <f t="shared" si="1"/>
        <v>78.94736842105263</v>
      </c>
      <c r="L10" s="166">
        <v>19</v>
      </c>
      <c r="M10" s="19">
        <f t="shared" ref="M10:M11" si="12">F10/V10*60</f>
        <v>1428.3977900552482</v>
      </c>
      <c r="N10" s="18">
        <f t="shared" si="3"/>
        <v>75.178831055539376</v>
      </c>
      <c r="O10" s="20">
        <f t="shared" si="4"/>
        <v>0</v>
      </c>
      <c r="P10" s="21">
        <f t="shared" si="5"/>
        <v>-3.7685373655132537</v>
      </c>
      <c r="Q10" s="167">
        <f t="shared" si="6"/>
        <v>0.95226519337016546</v>
      </c>
      <c r="R10" s="573">
        <f>Q12</f>
        <v>0.95196593001841612</v>
      </c>
      <c r="S10" s="49">
        <v>0.20833333333333334</v>
      </c>
      <c r="T10" s="49">
        <v>0.33402777777777781</v>
      </c>
      <c r="U10" s="165"/>
      <c r="V10" s="168">
        <f t="shared" ref="V10:V11" si="13">(T10-S10)*24*60</f>
        <v>181.00000000000006</v>
      </c>
      <c r="W10" s="25"/>
      <c r="X10" s="25"/>
      <c r="Y10" s="25"/>
      <c r="Z10" s="25"/>
      <c r="AA10" s="575"/>
      <c r="AB10" s="575"/>
      <c r="AC10" s="50">
        <v>2</v>
      </c>
      <c r="AD10" s="27"/>
      <c r="AE10" s="20">
        <f t="shared" si="8"/>
        <v>-71.602209944751849</v>
      </c>
      <c r="AF10" s="167">
        <f t="shared" si="9"/>
        <v>0.95226519337016546</v>
      </c>
      <c r="AG10" s="573">
        <f>AF12</f>
        <v>0.95196593001841601</v>
      </c>
    </row>
    <row r="11" spans="1:33" ht="15.75" customHeight="1">
      <c r="A11" s="602" t="s">
        <v>47</v>
      </c>
      <c r="B11" s="39" t="s">
        <v>79</v>
      </c>
      <c r="C11" s="598" t="s">
        <v>81</v>
      </c>
      <c r="D11" s="599"/>
      <c r="E11" s="39">
        <v>39.799999999999997</v>
      </c>
      <c r="F11" s="170">
        <v>6281</v>
      </c>
      <c r="G11" s="165">
        <f t="shared" si="11"/>
        <v>249983.8</v>
      </c>
      <c r="H11" s="48" t="s">
        <v>126</v>
      </c>
      <c r="I11" s="166">
        <v>17</v>
      </c>
      <c r="J11" s="43">
        <v>1500</v>
      </c>
      <c r="K11" s="18">
        <f t="shared" si="1"/>
        <v>88.235294117647058</v>
      </c>
      <c r="L11" s="166">
        <v>17</v>
      </c>
      <c r="M11" s="19">
        <f t="shared" si="12"/>
        <v>1427.5</v>
      </c>
      <c r="N11" s="18">
        <f t="shared" si="3"/>
        <v>83.970588235294116</v>
      </c>
      <c r="O11" s="20">
        <f t="shared" si="4"/>
        <v>0</v>
      </c>
      <c r="P11" s="21">
        <f t="shared" si="5"/>
        <v>-4.264705882352942</v>
      </c>
      <c r="Q11" s="167">
        <f t="shared" si="6"/>
        <v>0.95166666666666666</v>
      </c>
      <c r="R11" s="573"/>
      <c r="S11" s="49">
        <v>0.33958333333333335</v>
      </c>
      <c r="T11" s="49">
        <v>0.5229166666666667</v>
      </c>
      <c r="U11" s="165">
        <f t="shared" ref="U11" si="14">IF(S11=TIME(17,0,0),"",(S11-T10)*24*60)</f>
        <v>7.9999999999999716</v>
      </c>
      <c r="V11" s="168">
        <f t="shared" si="13"/>
        <v>264</v>
      </c>
      <c r="W11" s="25"/>
      <c r="X11" s="25"/>
      <c r="Y11" s="25"/>
      <c r="Z11" s="25"/>
      <c r="AA11" s="575"/>
      <c r="AB11" s="575"/>
      <c r="AC11" s="50"/>
      <c r="AD11" s="27"/>
      <c r="AE11" s="20">
        <f t="shared" si="8"/>
        <v>-72.5</v>
      </c>
      <c r="AF11" s="167">
        <f t="shared" si="9"/>
        <v>0.95166666666666666</v>
      </c>
      <c r="AG11" s="573"/>
    </row>
    <row r="12" spans="1:33" ht="16.5" customHeight="1">
      <c r="A12" s="602" t="s">
        <v>47</v>
      </c>
      <c r="B12" s="39" t="s">
        <v>46</v>
      </c>
      <c r="C12" s="576"/>
      <c r="D12" s="576"/>
      <c r="E12" s="172"/>
      <c r="F12" s="43"/>
      <c r="G12" s="19"/>
      <c r="H12" s="170"/>
      <c r="I12" s="32">
        <v>18</v>
      </c>
      <c r="J12" s="43">
        <v>1500</v>
      </c>
      <c r="K12" s="18">
        <f t="shared" si="1"/>
        <v>83.333333333333329</v>
      </c>
      <c r="L12" s="32">
        <v>18</v>
      </c>
      <c r="M12" s="19">
        <f>AVERAGE(M10:M11)</f>
        <v>1427.9488950276241</v>
      </c>
      <c r="N12" s="18">
        <f t="shared" si="3"/>
        <v>79.330494168201341</v>
      </c>
      <c r="O12" s="20">
        <f t="shared" si="4"/>
        <v>0</v>
      </c>
      <c r="P12" s="21">
        <f t="shared" si="5"/>
        <v>-4.0028391651319879</v>
      </c>
      <c r="Q12" s="167">
        <f t="shared" si="6"/>
        <v>0.95196593001841612</v>
      </c>
      <c r="R12" s="573"/>
      <c r="S12" s="49"/>
      <c r="T12" s="49"/>
      <c r="U12" s="18"/>
      <c r="V12" s="168"/>
      <c r="W12" s="18"/>
      <c r="X12" s="18"/>
      <c r="Y12" s="33">
        <f>SUM(Y10:Y11)</f>
        <v>0</v>
      </c>
      <c r="Z12" s="33">
        <f>SUM(Z10:Z11)</f>
        <v>0</v>
      </c>
      <c r="AA12" s="572"/>
      <c r="AB12" s="572"/>
      <c r="AC12" s="33">
        <v>2</v>
      </c>
      <c r="AD12" s="33">
        <f>SUM(AD10:AD11)</f>
        <v>0</v>
      </c>
      <c r="AE12" s="20">
        <f t="shared" si="8"/>
        <v>-72.051104972375924</v>
      </c>
      <c r="AF12" s="167">
        <f t="shared" si="9"/>
        <v>0.95196593001841601</v>
      </c>
      <c r="AG12" s="573"/>
    </row>
    <row r="13" spans="1:33" ht="16.5" customHeight="1">
      <c r="A13" s="600" t="s">
        <v>799</v>
      </c>
      <c r="B13" s="170" t="s">
        <v>82</v>
      </c>
      <c r="C13" s="594" t="s">
        <v>83</v>
      </c>
      <c r="D13" s="594"/>
      <c r="E13" s="39">
        <v>41</v>
      </c>
      <c r="F13" s="170">
        <v>1574</v>
      </c>
      <c r="G13" s="165">
        <f t="shared" ref="G13:G16" si="15">E13*F13</f>
        <v>64534</v>
      </c>
      <c r="H13" s="48" t="s">
        <v>126</v>
      </c>
      <c r="I13" s="166">
        <v>26</v>
      </c>
      <c r="J13" s="43">
        <v>1500</v>
      </c>
      <c r="K13" s="18">
        <f t="shared" si="1"/>
        <v>57.692307692307693</v>
      </c>
      <c r="L13" s="166">
        <v>26</v>
      </c>
      <c r="M13" s="19">
        <f t="shared" ref="M13:M16" si="16">F13/V13*60</f>
        <v>1430.9090909090914</v>
      </c>
      <c r="N13" s="18">
        <f t="shared" si="3"/>
        <v>55.034965034965055</v>
      </c>
      <c r="O13" s="20">
        <f t="shared" si="4"/>
        <v>0</v>
      </c>
      <c r="P13" s="21">
        <f t="shared" si="5"/>
        <v>-2.6573426573426389</v>
      </c>
      <c r="Q13" s="167">
        <f t="shared" si="6"/>
        <v>0.95393939393939431</v>
      </c>
      <c r="R13" s="573">
        <f>Q17</f>
        <v>0.95463200202490295</v>
      </c>
      <c r="S13" s="49">
        <v>0.20833333333333334</v>
      </c>
      <c r="T13" s="49">
        <v>0.25416666666666665</v>
      </c>
      <c r="U13" s="165"/>
      <c r="V13" s="168">
        <f t="shared" ref="V13:V16" si="17">(T13-S13)*24*60</f>
        <v>65.999999999999972</v>
      </c>
      <c r="W13" s="30"/>
      <c r="X13" s="30"/>
      <c r="Y13" s="30"/>
      <c r="Z13" s="30"/>
      <c r="AA13" s="575"/>
      <c r="AB13" s="575"/>
      <c r="AC13" s="50">
        <v>4</v>
      </c>
      <c r="AD13" s="27"/>
      <c r="AE13" s="20">
        <f t="shared" si="8"/>
        <v>-69.090909090908553</v>
      </c>
      <c r="AF13" s="167">
        <f t="shared" si="9"/>
        <v>0.95393939393939431</v>
      </c>
      <c r="AG13" s="573">
        <f>AF17</f>
        <v>0.95463200202490306</v>
      </c>
    </row>
    <row r="14" spans="1:33" ht="16.5" customHeight="1">
      <c r="A14" s="601" t="s">
        <v>50</v>
      </c>
      <c r="B14" s="170" t="s">
        <v>74</v>
      </c>
      <c r="C14" s="594" t="s">
        <v>85</v>
      </c>
      <c r="D14" s="594"/>
      <c r="E14" s="39">
        <v>53.68</v>
      </c>
      <c r="F14" s="170">
        <v>927</v>
      </c>
      <c r="G14" s="165">
        <f t="shared" si="15"/>
        <v>49761.36</v>
      </c>
      <c r="H14" s="48" t="s">
        <v>126</v>
      </c>
      <c r="I14" s="166">
        <v>16</v>
      </c>
      <c r="J14" s="43">
        <v>1500</v>
      </c>
      <c r="K14" s="18">
        <f t="shared" si="1"/>
        <v>93.75</v>
      </c>
      <c r="L14" s="166">
        <v>16</v>
      </c>
      <c r="M14" s="19">
        <f t="shared" si="16"/>
        <v>1426.1538461538453</v>
      </c>
      <c r="N14" s="18">
        <f t="shared" si="3"/>
        <v>89.13461538461533</v>
      </c>
      <c r="O14" s="20">
        <f t="shared" si="4"/>
        <v>0</v>
      </c>
      <c r="P14" s="21">
        <f t="shared" si="5"/>
        <v>-4.61538461538467</v>
      </c>
      <c r="Q14" s="167">
        <f t="shared" si="6"/>
        <v>0.95076923076923014</v>
      </c>
      <c r="R14" s="573"/>
      <c r="S14" s="49">
        <v>0.70833333333333337</v>
      </c>
      <c r="T14" s="49">
        <v>0.73541666666666672</v>
      </c>
      <c r="U14" s="165" t="str">
        <f t="shared" ref="U14:U16" si="18">IF(S14=TIME(17,0,0),"",(S14-T13)*24*60)</f>
        <v/>
      </c>
      <c r="V14" s="168">
        <f t="shared" si="17"/>
        <v>39.000000000000021</v>
      </c>
      <c r="W14" s="25"/>
      <c r="X14" s="25"/>
      <c r="Y14" s="25"/>
      <c r="Z14" s="25"/>
      <c r="AA14" s="575"/>
      <c r="AB14" s="575"/>
      <c r="AC14" s="50"/>
      <c r="AD14" s="27"/>
      <c r="AE14" s="20">
        <f t="shared" si="8"/>
        <v>-73.846153846154721</v>
      </c>
      <c r="AF14" s="167">
        <f t="shared" si="9"/>
        <v>0.95076923076923014</v>
      </c>
      <c r="AG14" s="573"/>
    </row>
    <row r="15" spans="1:33" ht="16.5" customHeight="1">
      <c r="A15" s="601" t="s">
        <v>799</v>
      </c>
      <c r="B15" s="170" t="s">
        <v>74</v>
      </c>
      <c r="C15" s="594" t="s">
        <v>86</v>
      </c>
      <c r="D15" s="594"/>
      <c r="E15" s="39">
        <v>50.92</v>
      </c>
      <c r="F15" s="170">
        <v>1826</v>
      </c>
      <c r="G15" s="165">
        <f t="shared" si="15"/>
        <v>92979.92</v>
      </c>
      <c r="H15" s="48" t="s">
        <v>126</v>
      </c>
      <c r="I15" s="166">
        <v>15</v>
      </c>
      <c r="J15" s="43">
        <v>2000</v>
      </c>
      <c r="K15" s="18">
        <f t="shared" si="1"/>
        <v>133.33333333333334</v>
      </c>
      <c r="L15" s="166">
        <v>15</v>
      </c>
      <c r="M15" s="19">
        <f t="shared" si="16"/>
        <v>1922.1052631578962</v>
      </c>
      <c r="N15" s="18">
        <f t="shared" si="3"/>
        <v>128.14035087719307</v>
      </c>
      <c r="O15" s="20">
        <f t="shared" si="4"/>
        <v>0</v>
      </c>
      <c r="P15" s="21">
        <f t="shared" si="5"/>
        <v>-5.1929824561402711</v>
      </c>
      <c r="Q15" s="167">
        <f t="shared" si="6"/>
        <v>0.96105263157894794</v>
      </c>
      <c r="R15" s="573"/>
      <c r="S15" s="49">
        <v>0.74027777777777781</v>
      </c>
      <c r="T15" s="49">
        <v>0.77986111111111112</v>
      </c>
      <c r="U15" s="165">
        <f t="shared" si="18"/>
        <v>6.9999999999999751</v>
      </c>
      <c r="V15" s="168">
        <f t="shared" si="17"/>
        <v>56.999999999999957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-77.894736842103839</v>
      </c>
      <c r="AF15" s="167">
        <f t="shared" si="9"/>
        <v>0.96105263157894805</v>
      </c>
      <c r="AG15" s="573"/>
    </row>
    <row r="16" spans="1:33" ht="16.5" customHeight="1">
      <c r="A16" s="601" t="s">
        <v>50</v>
      </c>
      <c r="B16" s="170" t="s">
        <v>74</v>
      </c>
      <c r="C16" s="594" t="s">
        <v>87</v>
      </c>
      <c r="D16" s="594"/>
      <c r="E16" s="39">
        <v>57.3</v>
      </c>
      <c r="F16" s="170">
        <v>1364</v>
      </c>
      <c r="G16" s="165">
        <f t="shared" si="15"/>
        <v>78157.2</v>
      </c>
      <c r="H16" s="48" t="s">
        <v>126</v>
      </c>
      <c r="I16" s="166">
        <v>13</v>
      </c>
      <c r="J16" s="43">
        <v>2000</v>
      </c>
      <c r="K16" s="18">
        <f t="shared" si="1"/>
        <v>153.84615384615384</v>
      </c>
      <c r="L16" s="166">
        <v>13</v>
      </c>
      <c r="M16" s="19">
        <f t="shared" si="16"/>
        <v>1903.2558139534881</v>
      </c>
      <c r="N16" s="18">
        <f t="shared" si="3"/>
        <v>146.40429338103755</v>
      </c>
      <c r="O16" s="20">
        <f t="shared" si="4"/>
        <v>0</v>
      </c>
      <c r="P16" s="21">
        <f t="shared" si="5"/>
        <v>-7.4418604651162923</v>
      </c>
      <c r="Q16" s="167">
        <f t="shared" si="6"/>
        <v>0.95162790697674415</v>
      </c>
      <c r="R16" s="573"/>
      <c r="S16" s="49">
        <v>0.78402777777777777</v>
      </c>
      <c r="T16" s="49">
        <v>0.81388888888888888</v>
      </c>
      <c r="U16" s="165">
        <f t="shared" si="18"/>
        <v>5.9999999999999787</v>
      </c>
      <c r="V16" s="168">
        <f t="shared" si="17"/>
        <v>43.000000000000007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-96.744186046511913</v>
      </c>
      <c r="AF16" s="167">
        <f t="shared" si="9"/>
        <v>0.95162790697674404</v>
      </c>
      <c r="AG16" s="573"/>
    </row>
    <row r="17" spans="1:33" ht="16.5" customHeight="1">
      <c r="A17" s="601" t="s">
        <v>800</v>
      </c>
      <c r="B17" s="39" t="s">
        <v>46</v>
      </c>
      <c r="C17" s="576"/>
      <c r="D17" s="576"/>
      <c r="E17" s="172"/>
      <c r="F17" s="42"/>
      <c r="G17" s="18"/>
      <c r="H17" s="170"/>
      <c r="I17" s="32">
        <v>17.5</v>
      </c>
      <c r="J17" s="43">
        <v>1750</v>
      </c>
      <c r="K17" s="18">
        <f t="shared" si="1"/>
        <v>100</v>
      </c>
      <c r="L17" s="32">
        <v>17.5</v>
      </c>
      <c r="M17" s="19">
        <f>AVERAGE(M13:M16)</f>
        <v>1670.6060035435803</v>
      </c>
      <c r="N17" s="18">
        <f t="shared" si="3"/>
        <v>95.463200202490299</v>
      </c>
      <c r="O17" s="20">
        <f t="shared" si="4"/>
        <v>0</v>
      </c>
      <c r="P17" s="21">
        <f t="shared" si="5"/>
        <v>-4.5367997975097012</v>
      </c>
      <c r="Q17" s="167">
        <f t="shared" si="6"/>
        <v>0.95463200202490295</v>
      </c>
      <c r="R17" s="573"/>
      <c r="S17" s="49"/>
      <c r="T17" s="49"/>
      <c r="U17" s="165"/>
      <c r="V17" s="168"/>
      <c r="W17" s="18"/>
      <c r="X17" s="18"/>
      <c r="Y17" s="33">
        <f>SUM(Y13:Y16)</f>
        <v>0</v>
      </c>
      <c r="Z17" s="33">
        <f>SUM(Z13:Z16)</f>
        <v>0</v>
      </c>
      <c r="AA17" s="572"/>
      <c r="AB17" s="572"/>
      <c r="AC17" s="33">
        <v>4</v>
      </c>
      <c r="AD17" s="33">
        <f>SUM(AD13:AD16)</f>
        <v>0</v>
      </c>
      <c r="AE17" s="20">
        <f t="shared" si="8"/>
        <v>-79.3939964564197</v>
      </c>
      <c r="AF17" s="167">
        <f t="shared" si="9"/>
        <v>0.95463200202490306</v>
      </c>
      <c r="AG17" s="573"/>
    </row>
    <row r="18" spans="1:33" ht="15.75" customHeight="1">
      <c r="A18" s="596" t="s">
        <v>801</v>
      </c>
      <c r="B18" s="39" t="s">
        <v>74</v>
      </c>
      <c r="C18" s="594" t="s">
        <v>84</v>
      </c>
      <c r="D18" s="594"/>
      <c r="E18" s="39">
        <v>54.09</v>
      </c>
      <c r="F18" s="170">
        <v>2688</v>
      </c>
      <c r="G18" s="165">
        <f t="shared" ref="G18:G23" si="19">E18*F18</f>
        <v>145393.92000000001</v>
      </c>
      <c r="H18" s="48" t="s">
        <v>126</v>
      </c>
      <c r="I18" s="166">
        <v>17</v>
      </c>
      <c r="J18" s="43">
        <v>1500</v>
      </c>
      <c r="K18" s="18">
        <f t="shared" si="1"/>
        <v>88.235294117647058</v>
      </c>
      <c r="L18" s="166">
        <v>17</v>
      </c>
      <c r="M18" s="19">
        <f t="shared" ref="M18:M23" si="20">F18/V18*60</f>
        <v>1440.0000000000007</v>
      </c>
      <c r="N18" s="18">
        <f t="shared" si="3"/>
        <v>84.705882352941217</v>
      </c>
      <c r="O18" s="20">
        <f t="shared" si="4"/>
        <v>0</v>
      </c>
      <c r="P18" s="21">
        <f t="shared" si="5"/>
        <v>-3.5294117647058414</v>
      </c>
      <c r="Q18" s="167">
        <f t="shared" si="6"/>
        <v>0.96000000000000041</v>
      </c>
      <c r="R18" s="573">
        <f>Q24</f>
        <v>0.95947394487449522</v>
      </c>
      <c r="S18" s="49">
        <v>0.20833333333333334</v>
      </c>
      <c r="T18" s="49">
        <v>0.28611111111111109</v>
      </c>
      <c r="U18" s="165"/>
      <c r="V18" s="168">
        <f t="shared" ref="V18:V23" si="21">(T18-S18)*24*60</f>
        <v>111.99999999999996</v>
      </c>
      <c r="W18" s="30"/>
      <c r="X18" s="30"/>
      <c r="Y18" s="30"/>
      <c r="Z18" s="30"/>
      <c r="AA18" s="575"/>
      <c r="AB18" s="575"/>
      <c r="AC18" s="50">
        <v>6</v>
      </c>
      <c r="AD18" s="27"/>
      <c r="AE18" s="20">
        <f t="shared" si="8"/>
        <v>-59.999999999999318</v>
      </c>
      <c r="AF18" s="167">
        <f t="shared" si="9"/>
        <v>0.96000000000000041</v>
      </c>
      <c r="AG18" s="573">
        <f>AF24</f>
        <v>0.95947394487449522</v>
      </c>
    </row>
    <row r="19" spans="1:33" ht="15.75" customHeight="1">
      <c r="A19" s="597" t="s">
        <v>801</v>
      </c>
      <c r="B19" s="39" t="s">
        <v>74</v>
      </c>
      <c r="C19" s="594" t="s">
        <v>89</v>
      </c>
      <c r="D19" s="594"/>
      <c r="E19" s="39">
        <v>50.67</v>
      </c>
      <c r="F19" s="170">
        <v>1848</v>
      </c>
      <c r="G19" s="165">
        <f t="shared" si="19"/>
        <v>93638.16</v>
      </c>
      <c r="H19" s="48" t="s">
        <v>126</v>
      </c>
      <c r="I19" s="166">
        <v>17</v>
      </c>
      <c r="J19" s="43">
        <v>2000</v>
      </c>
      <c r="K19" s="18">
        <f t="shared" si="1"/>
        <v>117.64705882352941</v>
      </c>
      <c r="L19" s="166">
        <v>17</v>
      </c>
      <c r="M19" s="19">
        <f t="shared" si="20"/>
        <v>1911.7241379310333</v>
      </c>
      <c r="N19" s="18">
        <f t="shared" si="3"/>
        <v>112.45436105476666</v>
      </c>
      <c r="O19" s="20">
        <f t="shared" si="4"/>
        <v>0</v>
      </c>
      <c r="P19" s="21">
        <f t="shared" si="5"/>
        <v>-5.1926977687627414</v>
      </c>
      <c r="Q19" s="167">
        <f t="shared" si="6"/>
        <v>0.95586206896551673</v>
      </c>
      <c r="R19" s="573"/>
      <c r="S19" s="49">
        <v>0.29166666666666663</v>
      </c>
      <c r="T19" s="49">
        <v>0.33194444444444443</v>
      </c>
      <c r="U19" s="165">
        <f t="shared" ref="U19:U23" si="22">IF(S19=TIME(17,0,0),"",(S19-T18)*24*60)</f>
        <v>7.9999999999999716</v>
      </c>
      <c r="V19" s="168">
        <f t="shared" si="21"/>
        <v>58.000000000000036</v>
      </c>
      <c r="W19" s="25"/>
      <c r="X19" s="165"/>
      <c r="Y19" s="165"/>
      <c r="Z19" s="165"/>
      <c r="AA19" s="575"/>
      <c r="AB19" s="575"/>
      <c r="AC19" s="50"/>
      <c r="AD19" s="27"/>
      <c r="AE19" s="20">
        <f t="shared" si="8"/>
        <v>-88.275862068966717</v>
      </c>
      <c r="AF19" s="167">
        <f t="shared" si="9"/>
        <v>0.95586206896551662</v>
      </c>
      <c r="AG19" s="573"/>
    </row>
    <row r="20" spans="1:33" ht="15.75" customHeight="1">
      <c r="A20" s="597" t="s">
        <v>53</v>
      </c>
      <c r="B20" s="39" t="s">
        <v>74</v>
      </c>
      <c r="C20" s="594" t="s">
        <v>90</v>
      </c>
      <c r="D20" s="594"/>
      <c r="E20" s="39">
        <v>57.73</v>
      </c>
      <c r="F20" s="170">
        <v>1978</v>
      </c>
      <c r="G20" s="165">
        <f t="shared" si="19"/>
        <v>114189.93999999999</v>
      </c>
      <c r="H20" s="48" t="s">
        <v>126</v>
      </c>
      <c r="I20" s="166">
        <v>14</v>
      </c>
      <c r="J20" s="43">
        <v>2000</v>
      </c>
      <c r="K20" s="18">
        <f t="shared" si="1"/>
        <v>142.85714285714286</v>
      </c>
      <c r="L20" s="166">
        <v>14</v>
      </c>
      <c r="M20" s="19">
        <f t="shared" si="20"/>
        <v>1914.1935483870961</v>
      </c>
      <c r="N20" s="18">
        <f t="shared" si="3"/>
        <v>136.72811059907829</v>
      </c>
      <c r="O20" s="20">
        <f t="shared" si="4"/>
        <v>0</v>
      </c>
      <c r="P20" s="21">
        <f t="shared" si="5"/>
        <v>-6.1290322580645693</v>
      </c>
      <c r="Q20" s="167">
        <f t="shared" si="6"/>
        <v>0.95709677419354799</v>
      </c>
      <c r="R20" s="573"/>
      <c r="S20" s="49">
        <v>0.33541666666666664</v>
      </c>
      <c r="T20" s="49">
        <v>0.37847222222222221</v>
      </c>
      <c r="U20" s="165">
        <f t="shared" si="22"/>
        <v>4.9999999999999822</v>
      </c>
      <c r="V20" s="168">
        <f t="shared" si="21"/>
        <v>62.000000000000021</v>
      </c>
      <c r="W20" s="25"/>
      <c r="X20" s="165"/>
      <c r="Y20" s="165"/>
      <c r="Z20" s="165"/>
      <c r="AA20" s="575"/>
      <c r="AB20" s="575"/>
      <c r="AC20" s="50"/>
      <c r="AD20" s="27"/>
      <c r="AE20" s="20">
        <f t="shared" si="8"/>
        <v>-85.806451612903857</v>
      </c>
      <c r="AF20" s="167">
        <f t="shared" si="9"/>
        <v>0.95709677419354811</v>
      </c>
      <c r="AG20" s="573"/>
    </row>
    <row r="21" spans="1:33" ht="15.75" customHeight="1">
      <c r="A21" s="597" t="s">
        <v>53</v>
      </c>
      <c r="B21" s="39" t="s">
        <v>74</v>
      </c>
      <c r="C21" s="594" t="s">
        <v>91</v>
      </c>
      <c r="D21" s="594"/>
      <c r="E21" s="39">
        <v>53.68</v>
      </c>
      <c r="F21" s="170">
        <v>875</v>
      </c>
      <c r="G21" s="165">
        <f t="shared" si="19"/>
        <v>46970</v>
      </c>
      <c r="H21" s="48" t="s">
        <v>126</v>
      </c>
      <c r="I21" s="166">
        <v>16</v>
      </c>
      <c r="J21" s="43">
        <v>2000</v>
      </c>
      <c r="K21" s="18">
        <f t="shared" si="1"/>
        <v>125</v>
      </c>
      <c r="L21" s="166">
        <v>16</v>
      </c>
      <c r="M21" s="19">
        <f t="shared" si="20"/>
        <v>1944.4444444444455</v>
      </c>
      <c r="N21" s="18">
        <f t="shared" si="3"/>
        <v>121.52777777777784</v>
      </c>
      <c r="O21" s="20">
        <f t="shared" si="4"/>
        <v>0</v>
      </c>
      <c r="P21" s="21">
        <f t="shared" si="5"/>
        <v>-3.4722222222221575</v>
      </c>
      <c r="Q21" s="167">
        <f t="shared" si="6"/>
        <v>0.97222222222222276</v>
      </c>
      <c r="R21" s="573"/>
      <c r="S21" s="49">
        <v>0.38402777777777775</v>
      </c>
      <c r="T21" s="49">
        <v>0.40277777777777773</v>
      </c>
      <c r="U21" s="165">
        <f t="shared" si="22"/>
        <v>7.9999999999999716</v>
      </c>
      <c r="V21" s="168">
        <f t="shared" si="21"/>
        <v>26.999999999999986</v>
      </c>
      <c r="W21" s="25"/>
      <c r="X21" s="165"/>
      <c r="Y21" s="165"/>
      <c r="Z21" s="165"/>
      <c r="AA21" s="575"/>
      <c r="AB21" s="575"/>
      <c r="AC21" s="50"/>
      <c r="AD21" s="27"/>
      <c r="AE21" s="20">
        <f t="shared" si="8"/>
        <v>-55.55555555555452</v>
      </c>
      <c r="AF21" s="167">
        <f t="shared" si="9"/>
        <v>0.97222222222222276</v>
      </c>
      <c r="AG21" s="573"/>
    </row>
    <row r="22" spans="1:33" ht="15.75" customHeight="1">
      <c r="A22" s="597" t="s">
        <v>53</v>
      </c>
      <c r="B22" s="39" t="s">
        <v>74</v>
      </c>
      <c r="C22" s="594" t="s">
        <v>92</v>
      </c>
      <c r="D22" s="594"/>
      <c r="E22" s="39">
        <v>50.49</v>
      </c>
      <c r="F22" s="170">
        <v>1624</v>
      </c>
      <c r="G22" s="165">
        <f t="shared" si="19"/>
        <v>81995.760000000009</v>
      </c>
      <c r="H22" s="48" t="s">
        <v>126</v>
      </c>
      <c r="I22" s="166">
        <v>15</v>
      </c>
      <c r="J22" s="43">
        <v>2000</v>
      </c>
      <c r="K22" s="18">
        <f t="shared" si="1"/>
        <v>133.33333333333334</v>
      </c>
      <c r="L22" s="166">
        <v>15</v>
      </c>
      <c r="M22" s="19">
        <f t="shared" si="20"/>
        <v>1910.5882352941185</v>
      </c>
      <c r="N22" s="18">
        <f t="shared" si="3"/>
        <v>127.3725490196079</v>
      </c>
      <c r="O22" s="20">
        <f t="shared" si="4"/>
        <v>0</v>
      </c>
      <c r="P22" s="21">
        <f t="shared" si="5"/>
        <v>-5.9607843137254406</v>
      </c>
      <c r="Q22" s="167">
        <f t="shared" si="6"/>
        <v>0.95529411764705918</v>
      </c>
      <c r="R22" s="573"/>
      <c r="S22" s="49">
        <v>0.70833333333333337</v>
      </c>
      <c r="T22" s="49">
        <v>0.74375000000000002</v>
      </c>
      <c r="U22" s="165" t="str">
        <f t="shared" si="22"/>
        <v/>
      </c>
      <c r="V22" s="168">
        <f t="shared" si="21"/>
        <v>50.999999999999979</v>
      </c>
      <c r="W22" s="25"/>
      <c r="X22" s="25"/>
      <c r="Y22" s="165"/>
      <c r="Z22" s="165"/>
      <c r="AA22" s="575"/>
      <c r="AB22" s="575"/>
      <c r="AC22" s="50"/>
      <c r="AD22" s="27"/>
      <c r="AE22" s="20">
        <f t="shared" si="8"/>
        <v>-89.411764705881524</v>
      </c>
      <c r="AF22" s="167">
        <f t="shared" si="9"/>
        <v>0.95529411764705929</v>
      </c>
      <c r="AG22" s="573"/>
    </row>
    <row r="23" spans="1:33" ht="15.75" customHeight="1">
      <c r="A23" s="597" t="s">
        <v>801</v>
      </c>
      <c r="B23" s="39" t="s">
        <v>74</v>
      </c>
      <c r="C23" s="594" t="s">
        <v>93</v>
      </c>
      <c r="D23" s="594"/>
      <c r="E23" s="39">
        <v>50.98</v>
      </c>
      <c r="F23" s="170">
        <v>1913</v>
      </c>
      <c r="G23" s="165">
        <f t="shared" si="19"/>
        <v>97524.739999999991</v>
      </c>
      <c r="H23" s="48" t="s">
        <v>126</v>
      </c>
      <c r="I23" s="166">
        <v>16</v>
      </c>
      <c r="J23" s="43">
        <v>2000</v>
      </c>
      <c r="K23" s="18">
        <f t="shared" si="1"/>
        <v>125</v>
      </c>
      <c r="L23" s="166">
        <v>16</v>
      </c>
      <c r="M23" s="19">
        <f t="shared" si="20"/>
        <v>1913.0000000000018</v>
      </c>
      <c r="N23" s="18">
        <f t="shared" si="3"/>
        <v>119.56250000000011</v>
      </c>
      <c r="O23" s="20">
        <f t="shared" si="4"/>
        <v>0</v>
      </c>
      <c r="P23" s="21">
        <f t="shared" si="5"/>
        <v>-5.4374999999998863</v>
      </c>
      <c r="Q23" s="167">
        <f t="shared" si="6"/>
        <v>0.95650000000000091</v>
      </c>
      <c r="R23" s="573"/>
      <c r="S23" s="49">
        <v>0.74930555555555556</v>
      </c>
      <c r="T23" s="49">
        <v>0.79097222222222219</v>
      </c>
      <c r="U23" s="165">
        <f t="shared" si="22"/>
        <v>7.9999999999999716</v>
      </c>
      <c r="V23" s="168">
        <f t="shared" si="21"/>
        <v>59.999999999999943</v>
      </c>
      <c r="W23" s="25"/>
      <c r="X23" s="30"/>
      <c r="Y23" s="30"/>
      <c r="Z23" s="30"/>
      <c r="AA23" s="575"/>
      <c r="AB23" s="575"/>
      <c r="AC23" s="50"/>
      <c r="AD23" s="27"/>
      <c r="AE23" s="20">
        <f t="shared" si="8"/>
        <v>-86.999999999998181</v>
      </c>
      <c r="AF23" s="167">
        <f t="shared" si="9"/>
        <v>0.95650000000000091</v>
      </c>
      <c r="AG23" s="573"/>
    </row>
    <row r="24" spans="1:33" ht="15.75" customHeight="1">
      <c r="A24" s="597" t="s">
        <v>53</v>
      </c>
      <c r="B24" s="39" t="s">
        <v>46</v>
      </c>
      <c r="C24" s="576"/>
      <c r="D24" s="576"/>
      <c r="E24" s="172"/>
      <c r="F24" s="170"/>
      <c r="G24" s="165"/>
      <c r="H24" s="170"/>
      <c r="I24" s="32">
        <v>15.833333333333334</v>
      </c>
      <c r="J24" s="43">
        <v>1916.6666666666667</v>
      </c>
      <c r="K24" s="18">
        <f t="shared" si="1"/>
        <v>121.05263157894737</v>
      </c>
      <c r="L24" s="32">
        <v>15.833333333333334</v>
      </c>
      <c r="M24" s="19">
        <f>AVERAGE(M18:M23)</f>
        <v>1838.9917276761159</v>
      </c>
      <c r="N24" s="18">
        <f t="shared" si="3"/>
        <v>116.14684595849153</v>
      </c>
      <c r="O24" s="20">
        <f t="shared" si="4"/>
        <v>0</v>
      </c>
      <c r="P24" s="21">
        <f t="shared" si="5"/>
        <v>-4.9057856204558448</v>
      </c>
      <c r="Q24" s="167">
        <f t="shared" si="6"/>
        <v>0.95947394487449522</v>
      </c>
      <c r="R24" s="573"/>
      <c r="S24" s="49"/>
      <c r="T24" s="49"/>
      <c r="U24" s="18"/>
      <c r="V24" s="168"/>
      <c r="W24" s="18"/>
      <c r="X24" s="18"/>
      <c r="Y24" s="33">
        <f>SUM(Y18:Y23)</f>
        <v>0</v>
      </c>
      <c r="Z24" s="33">
        <f>SUM(Z18:Z23)</f>
        <v>0</v>
      </c>
      <c r="AA24" s="572"/>
      <c r="AB24" s="572"/>
      <c r="AC24" s="33">
        <v>6</v>
      </c>
      <c r="AD24" s="33">
        <f>SUM(AD18:AD23)</f>
        <v>0</v>
      </c>
      <c r="AE24" s="20">
        <f t="shared" si="8"/>
        <v>-77.6749389905508</v>
      </c>
      <c r="AF24" s="167">
        <f t="shared" si="9"/>
        <v>0.95947394487449522</v>
      </c>
      <c r="AG24" s="573"/>
    </row>
    <row r="25" spans="1:33" ht="15.75" customHeight="1">
      <c r="A25" s="595" t="s">
        <v>802</v>
      </c>
      <c r="B25" s="39" t="s">
        <v>94</v>
      </c>
      <c r="C25" s="594" t="s">
        <v>95</v>
      </c>
      <c r="D25" s="594"/>
      <c r="E25" s="39">
        <v>31.29</v>
      </c>
      <c r="F25" s="170">
        <v>6000</v>
      </c>
      <c r="G25" s="165">
        <f t="shared" ref="G25:G30" si="23">E25*F25</f>
        <v>187740</v>
      </c>
      <c r="H25" s="48">
        <v>2</v>
      </c>
      <c r="I25" s="166">
        <v>18</v>
      </c>
      <c r="J25" s="43">
        <v>2400</v>
      </c>
      <c r="K25" s="18">
        <f t="shared" si="1"/>
        <v>133.33333333333334</v>
      </c>
      <c r="L25" s="166">
        <v>18</v>
      </c>
      <c r="M25" s="19">
        <f t="shared" ref="M25:M30" si="24">F25/V25*60</f>
        <v>2292.993630573249</v>
      </c>
      <c r="N25" s="18">
        <f t="shared" si="3"/>
        <v>127.38853503184717</v>
      </c>
      <c r="O25" s="20">
        <f t="shared" si="4"/>
        <v>0</v>
      </c>
      <c r="P25" s="21">
        <f t="shared" si="5"/>
        <v>-5.9447983014861734</v>
      </c>
      <c r="Q25" s="167">
        <f t="shared" si="6"/>
        <v>0.95541401273885374</v>
      </c>
      <c r="R25" s="573">
        <f>Q31</f>
        <v>0.95629222954476056</v>
      </c>
      <c r="S25" s="49">
        <v>8.3333333333333329E-2</v>
      </c>
      <c r="T25" s="49">
        <v>0.19236111111111109</v>
      </c>
      <c r="U25" s="165"/>
      <c r="V25" s="168">
        <f t="shared" ref="V25:V30" si="25">(T25-S25)*24*60</f>
        <v>156.99999999999997</v>
      </c>
      <c r="W25" s="25">
        <f>T25</f>
        <v>0.19236111111111109</v>
      </c>
      <c r="X25" s="25">
        <f>S26</f>
        <v>0.21180555555555552</v>
      </c>
      <c r="Y25" s="25"/>
      <c r="Z25" s="25"/>
      <c r="AA25" s="575"/>
      <c r="AB25" s="575"/>
      <c r="AC25" s="50">
        <v>6</v>
      </c>
      <c r="AD25" s="27"/>
      <c r="AE25" s="20">
        <f t="shared" si="8"/>
        <v>-107.00636942675101</v>
      </c>
      <c r="AF25" s="167">
        <f t="shared" si="9"/>
        <v>0.95541401273885374</v>
      </c>
      <c r="AG25" s="573">
        <f>AF31</f>
        <v>0.95629222954476067</v>
      </c>
    </row>
    <row r="26" spans="1:33" ht="15.75" customHeight="1">
      <c r="A26" s="595" t="s">
        <v>56</v>
      </c>
      <c r="B26" s="39" t="s">
        <v>94</v>
      </c>
      <c r="C26" s="594" t="s">
        <v>97</v>
      </c>
      <c r="D26" s="594"/>
      <c r="E26" s="39">
        <v>26.37</v>
      </c>
      <c r="F26" s="170">
        <v>5694</v>
      </c>
      <c r="G26" s="165">
        <f t="shared" si="23"/>
        <v>150150.78</v>
      </c>
      <c r="H26" s="48" t="s">
        <v>126</v>
      </c>
      <c r="I26" s="166">
        <v>19</v>
      </c>
      <c r="J26" s="43">
        <v>2400</v>
      </c>
      <c r="K26" s="18">
        <f t="shared" si="1"/>
        <v>126.31578947368421</v>
      </c>
      <c r="L26" s="166">
        <v>19</v>
      </c>
      <c r="M26" s="19">
        <f t="shared" si="24"/>
        <v>2292.8859060402683</v>
      </c>
      <c r="N26" s="18">
        <f t="shared" si="3"/>
        <v>120.67820558106675</v>
      </c>
      <c r="O26" s="20">
        <f t="shared" si="4"/>
        <v>0</v>
      </c>
      <c r="P26" s="21">
        <f t="shared" si="5"/>
        <v>-5.6375838926174566</v>
      </c>
      <c r="Q26" s="167">
        <f t="shared" si="6"/>
        <v>0.95536912751677849</v>
      </c>
      <c r="R26" s="573"/>
      <c r="S26" s="49">
        <v>0.21180555555555552</v>
      </c>
      <c r="T26" s="49">
        <v>0.31527777777777777</v>
      </c>
      <c r="U26" s="165">
        <f t="shared" ref="U26:U30" si="26">(S26-T25)*24*60</f>
        <v>27.999999999999979</v>
      </c>
      <c r="V26" s="168">
        <f t="shared" si="25"/>
        <v>149.00000000000003</v>
      </c>
      <c r="W26" s="25"/>
      <c r="X26" s="25"/>
      <c r="Y26" s="25"/>
      <c r="Z26" s="25"/>
      <c r="AA26" s="575"/>
      <c r="AB26" s="575"/>
      <c r="AC26" s="50"/>
      <c r="AD26" s="27"/>
      <c r="AE26" s="20">
        <f t="shared" si="8"/>
        <v>-107.11409395973169</v>
      </c>
      <c r="AF26" s="167">
        <f t="shared" si="9"/>
        <v>0.95536912751677849</v>
      </c>
      <c r="AG26" s="573"/>
    </row>
    <row r="27" spans="1:33" ht="15.75" customHeight="1">
      <c r="A27" s="595" t="s">
        <v>803</v>
      </c>
      <c r="B27" s="39" t="s">
        <v>94</v>
      </c>
      <c r="C27" s="594" t="s">
        <v>98</v>
      </c>
      <c r="D27" s="594"/>
      <c r="E27" s="39">
        <v>25.99</v>
      </c>
      <c r="F27" s="170">
        <v>2600</v>
      </c>
      <c r="G27" s="165">
        <f t="shared" si="23"/>
        <v>67574</v>
      </c>
      <c r="H27" s="48">
        <v>2</v>
      </c>
      <c r="I27" s="166">
        <v>14</v>
      </c>
      <c r="J27" s="43">
        <v>2400</v>
      </c>
      <c r="K27" s="18">
        <f t="shared" si="1"/>
        <v>171.42857142857142</v>
      </c>
      <c r="L27" s="166">
        <v>14</v>
      </c>
      <c r="M27" s="19">
        <f t="shared" si="24"/>
        <v>2294.1176470588234</v>
      </c>
      <c r="N27" s="18">
        <f t="shared" si="3"/>
        <v>163.8655462184874</v>
      </c>
      <c r="O27" s="20">
        <f t="shared" si="4"/>
        <v>0</v>
      </c>
      <c r="P27" s="21">
        <f t="shared" si="5"/>
        <v>-7.563025210084021</v>
      </c>
      <c r="Q27" s="167">
        <f t="shared" si="6"/>
        <v>0.95588235294117652</v>
      </c>
      <c r="R27" s="573"/>
      <c r="S27" s="49">
        <v>0.32013888888888886</v>
      </c>
      <c r="T27" s="49">
        <v>0.36736111111111108</v>
      </c>
      <c r="U27" s="165">
        <f t="shared" si="26"/>
        <v>6.9999999999999751</v>
      </c>
      <c r="V27" s="168">
        <f t="shared" si="25"/>
        <v>68</v>
      </c>
      <c r="W27" s="25"/>
      <c r="X27" s="25"/>
      <c r="Y27" s="25"/>
      <c r="Z27" s="25"/>
      <c r="AA27" s="575"/>
      <c r="AB27" s="575"/>
      <c r="AC27" s="50"/>
      <c r="AD27" s="27"/>
      <c r="AE27" s="20">
        <f t="shared" si="8"/>
        <v>-105.88235294117658</v>
      </c>
      <c r="AF27" s="167">
        <f t="shared" si="9"/>
        <v>0.95588235294117641</v>
      </c>
      <c r="AG27" s="573"/>
    </row>
    <row r="28" spans="1:33" ht="15.75" customHeight="1">
      <c r="A28" s="595" t="s">
        <v>56</v>
      </c>
      <c r="B28" s="39" t="s">
        <v>94</v>
      </c>
      <c r="C28" s="594" t="s">
        <v>529</v>
      </c>
      <c r="D28" s="594"/>
      <c r="E28" s="39">
        <v>26.18</v>
      </c>
      <c r="F28" s="170">
        <v>7044</v>
      </c>
      <c r="G28" s="165">
        <f t="shared" si="23"/>
        <v>184411.91999999998</v>
      </c>
      <c r="H28" s="48" t="s">
        <v>126</v>
      </c>
      <c r="I28" s="166">
        <v>19</v>
      </c>
      <c r="J28" s="43">
        <v>2400</v>
      </c>
      <c r="K28" s="18">
        <f t="shared" si="1"/>
        <v>126.31578947368421</v>
      </c>
      <c r="L28" s="166">
        <v>19</v>
      </c>
      <c r="M28" s="19">
        <f t="shared" si="24"/>
        <v>2284.5405405405395</v>
      </c>
      <c r="N28" s="18">
        <f t="shared" si="3"/>
        <v>120.23897581792313</v>
      </c>
      <c r="O28" s="20">
        <f t="shared" si="4"/>
        <v>0</v>
      </c>
      <c r="P28" s="21">
        <f t="shared" si="5"/>
        <v>-6.0768136557610717</v>
      </c>
      <c r="Q28" s="167">
        <f t="shared" si="6"/>
        <v>0.9518918918918915</v>
      </c>
      <c r="R28" s="573"/>
      <c r="S28" s="49">
        <v>0.37222222222222218</v>
      </c>
      <c r="T28" s="49">
        <v>0.50069444444444444</v>
      </c>
      <c r="U28" s="165">
        <f t="shared" si="26"/>
        <v>6.9999999999999751</v>
      </c>
      <c r="V28" s="168">
        <f t="shared" si="25"/>
        <v>185.00000000000006</v>
      </c>
      <c r="W28" s="25">
        <f>T28</f>
        <v>0.50069444444444444</v>
      </c>
      <c r="X28" s="25">
        <f>S29</f>
        <v>0.54097222222222219</v>
      </c>
      <c r="Y28" s="25"/>
      <c r="Z28" s="25"/>
      <c r="AA28" s="575"/>
      <c r="AB28" s="575"/>
      <c r="AC28" s="50"/>
      <c r="AD28" s="27"/>
      <c r="AE28" s="20">
        <f t="shared" si="8"/>
        <v>-115.4594594594605</v>
      </c>
      <c r="AF28" s="167">
        <f t="shared" si="9"/>
        <v>0.9518918918918915</v>
      </c>
      <c r="AG28" s="573"/>
    </row>
    <row r="29" spans="1:33" ht="15.75" customHeight="1">
      <c r="A29" s="595" t="s">
        <v>56</v>
      </c>
      <c r="B29" s="39" t="s">
        <v>94</v>
      </c>
      <c r="C29" s="594" t="s">
        <v>95</v>
      </c>
      <c r="D29" s="594"/>
      <c r="E29" s="39">
        <v>31.29</v>
      </c>
      <c r="F29" s="170">
        <v>3542</v>
      </c>
      <c r="G29" s="165">
        <f t="shared" si="23"/>
        <v>110829.18</v>
      </c>
      <c r="H29" s="48" t="s">
        <v>126</v>
      </c>
      <c r="I29" s="166">
        <v>18</v>
      </c>
      <c r="J29" s="43">
        <v>2400</v>
      </c>
      <c r="K29" s="18">
        <f t="shared" si="1"/>
        <v>133.33333333333334</v>
      </c>
      <c r="L29" s="166">
        <v>18</v>
      </c>
      <c r="M29" s="19">
        <f t="shared" si="24"/>
        <v>2285.161290322581</v>
      </c>
      <c r="N29" s="18">
        <f t="shared" si="3"/>
        <v>126.95340501792117</v>
      </c>
      <c r="O29" s="20">
        <f t="shared" si="4"/>
        <v>0</v>
      </c>
      <c r="P29" s="21">
        <f t="shared" si="5"/>
        <v>-6.3799283154121724</v>
      </c>
      <c r="Q29" s="167">
        <f t="shared" si="6"/>
        <v>0.95215053763440871</v>
      </c>
      <c r="R29" s="573"/>
      <c r="S29" s="49">
        <v>0.54097222222222219</v>
      </c>
      <c r="T29" s="49">
        <v>0.60555555555555551</v>
      </c>
      <c r="U29" s="165">
        <f t="shared" si="26"/>
        <v>57.999999999999957</v>
      </c>
      <c r="V29" s="168">
        <f t="shared" si="25"/>
        <v>92.999999999999986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-114.83870967741905</v>
      </c>
      <c r="AF29" s="167">
        <f t="shared" si="9"/>
        <v>0.95215053763440871</v>
      </c>
      <c r="AG29" s="573"/>
    </row>
    <row r="30" spans="1:33" ht="15.75" customHeight="1">
      <c r="A30" s="595" t="s">
        <v>56</v>
      </c>
      <c r="B30" s="39" t="s">
        <v>94</v>
      </c>
      <c r="C30" s="594" t="s">
        <v>98</v>
      </c>
      <c r="D30" s="594"/>
      <c r="E30" s="39">
        <v>25.99</v>
      </c>
      <c r="F30" s="170">
        <v>1702</v>
      </c>
      <c r="G30" s="165">
        <f t="shared" si="23"/>
        <v>44234.979999999996</v>
      </c>
      <c r="H30" s="48" t="s">
        <v>126</v>
      </c>
      <c r="I30" s="166">
        <v>14</v>
      </c>
      <c r="J30" s="43">
        <v>2400</v>
      </c>
      <c r="K30" s="18">
        <f t="shared" si="1"/>
        <v>171.42857142857142</v>
      </c>
      <c r="L30" s="166">
        <v>14</v>
      </c>
      <c r="M30" s="19">
        <f t="shared" si="24"/>
        <v>2320.909090909091</v>
      </c>
      <c r="N30" s="18">
        <f t="shared" si="3"/>
        <v>165.77922077922079</v>
      </c>
      <c r="O30" s="20">
        <f t="shared" si="4"/>
        <v>0</v>
      </c>
      <c r="P30" s="21">
        <f t="shared" si="5"/>
        <v>-5.6493506493506231</v>
      </c>
      <c r="Q30" s="167">
        <f t="shared" si="6"/>
        <v>0.96704545454545465</v>
      </c>
      <c r="R30" s="573"/>
      <c r="S30" s="49">
        <v>0.60902777777777772</v>
      </c>
      <c r="T30" s="49">
        <v>0.63958333333333328</v>
      </c>
      <c r="U30" s="165">
        <f t="shared" si="26"/>
        <v>4.9999999999999822</v>
      </c>
      <c r="V30" s="168">
        <f t="shared" si="25"/>
        <v>44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-79.090909090909008</v>
      </c>
      <c r="AF30" s="167">
        <f t="shared" si="9"/>
        <v>0.96704545454545454</v>
      </c>
      <c r="AG30" s="573"/>
    </row>
    <row r="31" spans="1:33" ht="15.75" customHeight="1">
      <c r="A31" s="595" t="s">
        <v>802</v>
      </c>
      <c r="B31" s="39" t="s">
        <v>46</v>
      </c>
      <c r="C31" s="576"/>
      <c r="D31" s="576"/>
      <c r="E31" s="172"/>
      <c r="F31" s="170"/>
      <c r="G31" s="165"/>
      <c r="H31" s="170"/>
      <c r="I31" s="32">
        <v>17</v>
      </c>
      <c r="J31" s="43">
        <v>2400</v>
      </c>
      <c r="K31" s="18">
        <f t="shared" si="1"/>
        <v>141.1764705882353</v>
      </c>
      <c r="L31" s="32">
        <v>17</v>
      </c>
      <c r="M31" s="19">
        <f>AVERAGE(M25:M30)</f>
        <v>2295.1013509074255</v>
      </c>
      <c r="N31" s="18">
        <f t="shared" si="3"/>
        <v>135.00596181808385</v>
      </c>
      <c r="O31" s="20">
        <f t="shared" si="4"/>
        <v>0</v>
      </c>
      <c r="P31" s="21">
        <f t="shared" si="5"/>
        <v>-6.1705087701514572</v>
      </c>
      <c r="Q31" s="167">
        <f t="shared" si="6"/>
        <v>0.95629222954476056</v>
      </c>
      <c r="R31" s="573"/>
      <c r="S31" s="49"/>
      <c r="T31" s="49"/>
      <c r="U31" s="165"/>
      <c r="V31" s="168"/>
      <c r="W31" s="165"/>
      <c r="X31" s="165"/>
      <c r="Y31" s="33">
        <f>SUM(Y25:Y30)</f>
        <v>0</v>
      </c>
      <c r="Z31" s="33">
        <f>SUM(Z25:Z30)</f>
        <v>0</v>
      </c>
      <c r="AA31" s="572"/>
      <c r="AB31" s="572"/>
      <c r="AC31" s="33">
        <v>6</v>
      </c>
      <c r="AD31" s="33">
        <f>SUM(AD25:AD30)</f>
        <v>0</v>
      </c>
      <c r="AE31" s="20">
        <f t="shared" si="8"/>
        <v>-104.89864909257449</v>
      </c>
      <c r="AF31" s="167">
        <f t="shared" si="9"/>
        <v>0.95629222954476067</v>
      </c>
      <c r="AG31" s="573"/>
    </row>
    <row r="32" spans="1:33" ht="15.75" customHeight="1">
      <c r="A32" s="592" t="s">
        <v>59</v>
      </c>
      <c r="B32" s="39" t="s">
        <v>94</v>
      </c>
      <c r="C32" s="574" t="s">
        <v>530</v>
      </c>
      <c r="D32" s="574"/>
      <c r="E32" s="39">
        <v>26.18</v>
      </c>
      <c r="F32" s="170">
        <v>3800</v>
      </c>
      <c r="G32" s="165">
        <f t="shared" ref="G32:G38" si="27">E32*F32</f>
        <v>99484</v>
      </c>
      <c r="H32" s="48">
        <v>2</v>
      </c>
      <c r="I32" s="166">
        <v>21</v>
      </c>
      <c r="J32" s="43">
        <v>2400</v>
      </c>
      <c r="K32" s="18">
        <f t="shared" si="1"/>
        <v>114.28571428571429</v>
      </c>
      <c r="L32" s="166">
        <v>21</v>
      </c>
      <c r="M32" s="19">
        <f t="shared" ref="M32:M38" si="28">F32/V32*60</f>
        <v>2303.030303030303</v>
      </c>
      <c r="N32" s="18">
        <f t="shared" si="3"/>
        <v>109.66810966810966</v>
      </c>
      <c r="O32" s="20">
        <f t="shared" si="4"/>
        <v>0</v>
      </c>
      <c r="P32" s="21">
        <f t="shared" si="5"/>
        <v>-4.617604617604627</v>
      </c>
      <c r="Q32" s="167">
        <f t="shared" si="6"/>
        <v>0.95959595959595956</v>
      </c>
      <c r="R32" s="573">
        <f>Q39</f>
        <v>0.95904501357062211</v>
      </c>
      <c r="S32" s="49">
        <v>8.3333333333333329E-2</v>
      </c>
      <c r="T32" s="49">
        <v>0.15208333333333332</v>
      </c>
      <c r="U32" s="165"/>
      <c r="V32" s="168">
        <f t="shared" ref="V32:V38" si="29">(T32-S32)*24*60</f>
        <v>99</v>
      </c>
      <c r="W32" s="30">
        <f>T32</f>
        <v>0.15208333333333332</v>
      </c>
      <c r="X32" s="30">
        <f>S33</f>
        <v>0.17013888888888887</v>
      </c>
      <c r="Y32" s="30"/>
      <c r="Z32" s="30"/>
      <c r="AA32" s="575"/>
      <c r="AB32" s="575"/>
      <c r="AC32" s="50">
        <v>7</v>
      </c>
      <c r="AD32" s="27"/>
      <c r="AE32" s="20">
        <f t="shared" si="8"/>
        <v>-96.969696969696997</v>
      </c>
      <c r="AF32" s="167">
        <f t="shared" si="9"/>
        <v>0.95959595959595956</v>
      </c>
      <c r="AG32" s="573">
        <f>AF39</f>
        <v>0.95904501357062211</v>
      </c>
    </row>
    <row r="33" spans="1:33" ht="15.75" customHeight="1">
      <c r="A33" s="592" t="s">
        <v>59</v>
      </c>
      <c r="B33" s="39" t="s">
        <v>94</v>
      </c>
      <c r="C33" s="574" t="s">
        <v>100</v>
      </c>
      <c r="D33" s="574"/>
      <c r="E33" s="39">
        <v>24.43</v>
      </c>
      <c r="F33" s="170">
        <v>4200</v>
      </c>
      <c r="G33" s="165">
        <f t="shared" si="27"/>
        <v>102606</v>
      </c>
      <c r="H33" s="48">
        <v>2</v>
      </c>
      <c r="I33" s="166">
        <v>14</v>
      </c>
      <c r="J33" s="43">
        <v>2400</v>
      </c>
      <c r="K33" s="18">
        <f t="shared" si="1"/>
        <v>171.42857142857142</v>
      </c>
      <c r="L33" s="166">
        <v>14</v>
      </c>
      <c r="M33" s="19">
        <f t="shared" si="28"/>
        <v>2290.9090909090914</v>
      </c>
      <c r="N33" s="18">
        <f t="shared" si="3"/>
        <v>163.63636363636368</v>
      </c>
      <c r="O33" s="20">
        <f t="shared" si="4"/>
        <v>0</v>
      </c>
      <c r="P33" s="21">
        <f t="shared" si="5"/>
        <v>-7.7922077922077335</v>
      </c>
      <c r="Q33" s="167">
        <f t="shared" si="6"/>
        <v>0.95454545454545492</v>
      </c>
      <c r="R33" s="573"/>
      <c r="S33" s="49">
        <v>0.17013888888888887</v>
      </c>
      <c r="T33" s="49">
        <v>0.24652777777777773</v>
      </c>
      <c r="U33" s="165">
        <f t="shared" ref="U33:U38" si="30">(S33-T32)*24*60</f>
        <v>25.999999999999986</v>
      </c>
      <c r="V33" s="168">
        <f t="shared" si="29"/>
        <v>109.99999999999997</v>
      </c>
      <c r="W33" s="165"/>
      <c r="X33" s="165"/>
      <c r="Y33" s="165"/>
      <c r="Z33" s="165"/>
      <c r="AA33" s="575"/>
      <c r="AB33" s="575"/>
      <c r="AC33" s="50"/>
      <c r="AD33" s="27"/>
      <c r="AE33" s="20">
        <f t="shared" si="8"/>
        <v>-109.09090909090855</v>
      </c>
      <c r="AF33" s="167">
        <f t="shared" si="9"/>
        <v>0.95454545454545481</v>
      </c>
      <c r="AG33" s="573"/>
    </row>
    <row r="34" spans="1:33">
      <c r="A34" s="593" t="s">
        <v>59</v>
      </c>
      <c r="B34" s="39" t="s">
        <v>94</v>
      </c>
      <c r="C34" s="574" t="s">
        <v>103</v>
      </c>
      <c r="D34" s="574"/>
      <c r="E34" s="39">
        <v>20.2</v>
      </c>
      <c r="F34" s="170">
        <v>1806</v>
      </c>
      <c r="G34" s="165">
        <f t="shared" si="27"/>
        <v>36481.199999999997</v>
      </c>
      <c r="H34" s="48" t="s">
        <v>126</v>
      </c>
      <c r="I34" s="166">
        <v>15</v>
      </c>
      <c r="J34" s="43">
        <v>2400</v>
      </c>
      <c r="K34" s="18">
        <f t="shared" si="1"/>
        <v>160</v>
      </c>
      <c r="L34" s="166">
        <v>15</v>
      </c>
      <c r="M34" s="19">
        <f t="shared" si="28"/>
        <v>2305.5319148936173</v>
      </c>
      <c r="N34" s="18">
        <f t="shared" si="3"/>
        <v>153.7021276595745</v>
      </c>
      <c r="O34" s="20">
        <f t="shared" si="4"/>
        <v>0</v>
      </c>
      <c r="P34" s="21">
        <f t="shared" si="5"/>
        <v>-6.2978723404254993</v>
      </c>
      <c r="Q34" s="167">
        <f t="shared" si="6"/>
        <v>0.96063829787234067</v>
      </c>
      <c r="R34" s="573"/>
      <c r="S34" s="49">
        <v>0.25138888888888883</v>
      </c>
      <c r="T34" s="49">
        <v>0.28402777777777771</v>
      </c>
      <c r="U34" s="165">
        <f t="shared" si="30"/>
        <v>6.9999999999999751</v>
      </c>
      <c r="V34" s="168">
        <f t="shared" si="29"/>
        <v>46.999999999999993</v>
      </c>
      <c r="W34" s="165"/>
      <c r="X34" s="165"/>
      <c r="Y34" s="165"/>
      <c r="Z34" s="165"/>
      <c r="AA34" s="575"/>
      <c r="AB34" s="575"/>
      <c r="AC34" s="50"/>
      <c r="AD34" s="27"/>
      <c r="AE34" s="20">
        <f t="shared" si="8"/>
        <v>-94.468085106382659</v>
      </c>
      <c r="AF34" s="167">
        <f t="shared" si="9"/>
        <v>0.96063829787234056</v>
      </c>
      <c r="AG34" s="573"/>
    </row>
    <row r="35" spans="1:33">
      <c r="A35" s="593" t="s">
        <v>804</v>
      </c>
      <c r="B35" s="39" t="s">
        <v>94</v>
      </c>
      <c r="C35" s="574" t="s">
        <v>102</v>
      </c>
      <c r="D35" s="574"/>
      <c r="E35" s="39">
        <v>34.1</v>
      </c>
      <c r="F35" s="170">
        <v>5829</v>
      </c>
      <c r="G35" s="165">
        <f t="shared" si="27"/>
        <v>198768.9</v>
      </c>
      <c r="H35" s="48" t="s">
        <v>126</v>
      </c>
      <c r="I35" s="166">
        <v>18</v>
      </c>
      <c r="J35" s="43">
        <v>1600</v>
      </c>
      <c r="K35" s="18">
        <f t="shared" si="1"/>
        <v>88.888888888888886</v>
      </c>
      <c r="L35" s="166">
        <v>18</v>
      </c>
      <c r="M35" s="19">
        <f t="shared" si="28"/>
        <v>1527.2489082969428</v>
      </c>
      <c r="N35" s="18">
        <f t="shared" si="3"/>
        <v>84.847161572052372</v>
      </c>
      <c r="O35" s="20">
        <f t="shared" si="4"/>
        <v>0</v>
      </c>
      <c r="P35" s="21">
        <f t="shared" si="5"/>
        <v>-4.0417273168365142</v>
      </c>
      <c r="Q35" s="167">
        <f t="shared" si="6"/>
        <v>0.95453056768558919</v>
      </c>
      <c r="R35" s="573"/>
      <c r="S35" s="49">
        <v>0.28749999999999992</v>
      </c>
      <c r="T35" s="49">
        <v>0.44652777777777775</v>
      </c>
      <c r="U35" s="165">
        <f t="shared" si="30"/>
        <v>4.9999999999999822</v>
      </c>
      <c r="V35" s="168">
        <f t="shared" si="29"/>
        <v>229.00000000000006</v>
      </c>
      <c r="W35" s="25"/>
      <c r="X35" s="25"/>
      <c r="Y35" s="25"/>
      <c r="Z35" s="25"/>
      <c r="AA35" s="575"/>
      <c r="AB35" s="575"/>
      <c r="AC35" s="50"/>
      <c r="AD35" s="27"/>
      <c r="AE35" s="20">
        <f t="shared" si="8"/>
        <v>-72.751091703057227</v>
      </c>
      <c r="AF35" s="167">
        <f t="shared" si="9"/>
        <v>0.95453056768558919</v>
      </c>
      <c r="AG35" s="573"/>
    </row>
    <row r="36" spans="1:33">
      <c r="A36" s="593" t="s">
        <v>59</v>
      </c>
      <c r="B36" s="39" t="s">
        <v>94</v>
      </c>
      <c r="C36" s="574" t="s">
        <v>122</v>
      </c>
      <c r="D36" s="574"/>
      <c r="E36" s="39">
        <v>20.52</v>
      </c>
      <c r="F36" s="170">
        <v>2668</v>
      </c>
      <c r="G36" s="165">
        <f t="shared" si="27"/>
        <v>54747.360000000001</v>
      </c>
      <c r="H36" s="48" t="s">
        <v>126</v>
      </c>
      <c r="I36" s="166">
        <v>18</v>
      </c>
      <c r="J36" s="43">
        <v>2400</v>
      </c>
      <c r="K36" s="18">
        <f t="shared" si="1"/>
        <v>133.33333333333334</v>
      </c>
      <c r="L36" s="166">
        <v>18</v>
      </c>
      <c r="M36" s="19">
        <f t="shared" si="28"/>
        <v>2286.8571428571431</v>
      </c>
      <c r="N36" s="18">
        <f t="shared" si="3"/>
        <v>127.04761904761907</v>
      </c>
      <c r="O36" s="20">
        <f t="shared" si="4"/>
        <v>0</v>
      </c>
      <c r="P36" s="21">
        <f t="shared" si="5"/>
        <v>-6.2857142857142776</v>
      </c>
      <c r="Q36" s="167">
        <f t="shared" si="6"/>
        <v>0.95285714285714296</v>
      </c>
      <c r="R36" s="573"/>
      <c r="S36" s="49">
        <v>0.4506944444444444</v>
      </c>
      <c r="T36" s="49">
        <v>0.4993055555555555</v>
      </c>
      <c r="U36" s="165">
        <f t="shared" si="30"/>
        <v>5.9999999999999787</v>
      </c>
      <c r="V36" s="168">
        <f t="shared" si="29"/>
        <v>69.999999999999986</v>
      </c>
      <c r="W36" s="25">
        <f>T36</f>
        <v>0.4993055555555555</v>
      </c>
      <c r="X36" s="25">
        <f>S37</f>
        <v>0.53819444444444442</v>
      </c>
      <c r="Y36" s="25"/>
      <c r="Z36" s="25"/>
      <c r="AA36" s="575"/>
      <c r="AB36" s="575"/>
      <c r="AC36" s="50"/>
      <c r="AD36" s="27"/>
      <c r="AE36" s="20">
        <f t="shared" si="8"/>
        <v>-113.14285714285688</v>
      </c>
      <c r="AF36" s="167">
        <f t="shared" si="9"/>
        <v>0.95285714285714296</v>
      </c>
      <c r="AG36" s="573"/>
    </row>
    <row r="37" spans="1:33">
      <c r="A37" s="593" t="s">
        <v>804</v>
      </c>
      <c r="B37" s="39" t="s">
        <v>94</v>
      </c>
      <c r="C37" s="574" t="s">
        <v>530</v>
      </c>
      <c r="D37" s="574"/>
      <c r="E37" s="39">
        <v>26.18</v>
      </c>
      <c r="F37" s="170">
        <v>2694</v>
      </c>
      <c r="G37" s="165">
        <f t="shared" si="27"/>
        <v>70528.92</v>
      </c>
      <c r="H37" s="48" t="s">
        <v>126</v>
      </c>
      <c r="I37" s="166">
        <v>21</v>
      </c>
      <c r="J37" s="43">
        <v>2400</v>
      </c>
      <c r="K37" s="18">
        <f t="shared" si="1"/>
        <v>114.28571428571429</v>
      </c>
      <c r="L37" s="166">
        <v>21</v>
      </c>
      <c r="M37" s="19">
        <f t="shared" si="28"/>
        <v>2309.1428571428546</v>
      </c>
      <c r="N37" s="18">
        <f t="shared" si="3"/>
        <v>109.95918367346927</v>
      </c>
      <c r="O37" s="20">
        <f t="shared" si="4"/>
        <v>0</v>
      </c>
      <c r="P37" s="21">
        <f t="shared" si="5"/>
        <v>-4.3265306122450227</v>
      </c>
      <c r="Q37" s="167">
        <f t="shared" si="6"/>
        <v>0.96214285714285608</v>
      </c>
      <c r="R37" s="573"/>
      <c r="S37" s="49">
        <v>0.53819444444444442</v>
      </c>
      <c r="T37" s="49">
        <v>0.58680555555555558</v>
      </c>
      <c r="U37" s="165">
        <f t="shared" si="30"/>
        <v>56.000000000000043</v>
      </c>
      <c r="V37" s="168">
        <f t="shared" si="29"/>
        <v>70.000000000000071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8"/>
        <v>-90.857142857145391</v>
      </c>
      <c r="AF37" s="167">
        <f t="shared" si="9"/>
        <v>0.96214285714285608</v>
      </c>
      <c r="AG37" s="573"/>
    </row>
    <row r="38" spans="1:33">
      <c r="A38" s="593" t="s">
        <v>59</v>
      </c>
      <c r="B38" s="39" t="s">
        <v>94</v>
      </c>
      <c r="C38" s="574" t="s">
        <v>100</v>
      </c>
      <c r="D38" s="574"/>
      <c r="E38" s="39">
        <v>24.43</v>
      </c>
      <c r="F38" s="170">
        <v>2322</v>
      </c>
      <c r="G38" s="165">
        <f t="shared" si="27"/>
        <v>56726.46</v>
      </c>
      <c r="H38" s="48" t="s">
        <v>126</v>
      </c>
      <c r="I38" s="166">
        <v>14</v>
      </c>
      <c r="J38" s="43">
        <v>2400</v>
      </c>
      <c r="K38" s="18">
        <f t="shared" si="1"/>
        <v>171.42857142857142</v>
      </c>
      <c r="L38" s="166">
        <v>14</v>
      </c>
      <c r="M38" s="19">
        <f t="shared" si="28"/>
        <v>2322.0000000000023</v>
      </c>
      <c r="N38" s="18">
        <f t="shared" si="3"/>
        <v>165.85714285714303</v>
      </c>
      <c r="O38" s="20">
        <f t="shared" si="4"/>
        <v>0</v>
      </c>
      <c r="P38" s="21">
        <f t="shared" si="5"/>
        <v>-5.5714285714283847</v>
      </c>
      <c r="Q38" s="167">
        <f t="shared" si="6"/>
        <v>0.96750000000000114</v>
      </c>
      <c r="R38" s="573"/>
      <c r="S38" s="49">
        <v>0.59236111111111112</v>
      </c>
      <c r="T38" s="49">
        <v>0.63402777777777775</v>
      </c>
      <c r="U38" s="165">
        <f t="shared" si="30"/>
        <v>7.9999999999999716</v>
      </c>
      <c r="V38" s="168">
        <f t="shared" si="29"/>
        <v>59.999999999999943</v>
      </c>
      <c r="W38" s="25"/>
      <c r="X38" s="25"/>
      <c r="Y38" s="28"/>
      <c r="Z38" s="28"/>
      <c r="AA38" s="568"/>
      <c r="AB38" s="569"/>
      <c r="AC38" s="50"/>
      <c r="AD38" s="27"/>
      <c r="AE38" s="20">
        <f t="shared" si="8"/>
        <v>-77.999999999997726</v>
      </c>
      <c r="AF38" s="167">
        <f t="shared" si="9"/>
        <v>0.96750000000000091</v>
      </c>
      <c r="AG38" s="573"/>
    </row>
    <row r="39" spans="1:33">
      <c r="A39" s="593" t="s">
        <v>804</v>
      </c>
      <c r="B39" s="42" t="s">
        <v>805</v>
      </c>
      <c r="C39" s="576"/>
      <c r="D39" s="576"/>
      <c r="E39" s="172"/>
      <c r="F39" s="42"/>
      <c r="G39" s="18"/>
      <c r="H39" s="170"/>
      <c r="I39" s="32">
        <v>17.285714285714285</v>
      </c>
      <c r="J39" s="43">
        <v>2285.7142857142858</v>
      </c>
      <c r="K39" s="18">
        <f t="shared" si="1"/>
        <v>132.2314049586777</v>
      </c>
      <c r="L39" s="32">
        <v>17.285714285714285</v>
      </c>
      <c r="M39" s="19">
        <f>AVERAGE(M32:M38)</f>
        <v>2192.102888161422</v>
      </c>
      <c r="N39" s="18">
        <f t="shared" si="3"/>
        <v>126.81586956305748</v>
      </c>
      <c r="O39" s="20">
        <f t="shared" si="4"/>
        <v>0</v>
      </c>
      <c r="P39" s="21">
        <f t="shared" si="5"/>
        <v>-5.4155353956202248</v>
      </c>
      <c r="Q39" s="167">
        <f t="shared" si="6"/>
        <v>0.95904501357062211</v>
      </c>
      <c r="R39" s="573"/>
      <c r="S39" s="49"/>
      <c r="T39" s="49"/>
      <c r="U39" s="18"/>
      <c r="V39" s="168"/>
      <c r="W39" s="18"/>
      <c r="X39" s="18"/>
      <c r="Y39" s="33">
        <f>SUM(Y32:Y38)</f>
        <v>0</v>
      </c>
      <c r="Z39" s="33">
        <f>SUM(Z32:Z38)</f>
        <v>0</v>
      </c>
      <c r="AA39" s="572"/>
      <c r="AB39" s="572"/>
      <c r="AC39" s="33">
        <v>7</v>
      </c>
      <c r="AD39" s="33">
        <f>SUM(AD32:AD38)</f>
        <v>0</v>
      </c>
      <c r="AE39" s="20">
        <f t="shared" si="8"/>
        <v>-93.611397552863764</v>
      </c>
      <c r="AF39" s="167">
        <f t="shared" si="9"/>
        <v>0.95904501357062211</v>
      </c>
      <c r="AG39" s="573"/>
    </row>
    <row r="40" spans="1:33" ht="15.75" customHeight="1">
      <c r="A40" s="589" t="s">
        <v>61</v>
      </c>
      <c r="B40" s="39" t="s">
        <v>104</v>
      </c>
      <c r="C40" s="566" t="s">
        <v>105</v>
      </c>
      <c r="D40" s="567"/>
      <c r="E40" s="39">
        <v>37.880000000000003</v>
      </c>
      <c r="F40" s="170">
        <v>3340</v>
      </c>
      <c r="G40" s="165">
        <f t="shared" ref="G40:G43" si="31">E40*F40</f>
        <v>126519.20000000001</v>
      </c>
      <c r="H40" s="48" t="s">
        <v>126</v>
      </c>
      <c r="I40" s="166">
        <v>13</v>
      </c>
      <c r="J40" s="43">
        <v>2000</v>
      </c>
      <c r="K40" s="18">
        <f t="shared" si="1"/>
        <v>153.84615384615384</v>
      </c>
      <c r="L40" s="166">
        <v>13</v>
      </c>
      <c r="M40" s="19">
        <f t="shared" ref="M40:M43" si="32">F40/V40*60</f>
        <v>1908.5714285714287</v>
      </c>
      <c r="N40" s="19">
        <f t="shared" si="3"/>
        <v>146.81318681318683</v>
      </c>
      <c r="O40" s="20">
        <f t="shared" si="4"/>
        <v>0</v>
      </c>
      <c r="P40" s="21">
        <f t="shared" si="5"/>
        <v>-7.032967032967008</v>
      </c>
      <c r="Q40" s="167">
        <f t="shared" si="6"/>
        <v>0.9542857142857144</v>
      </c>
      <c r="R40" s="584">
        <f>Q44</f>
        <v>0.95632127320160509</v>
      </c>
      <c r="S40" s="49">
        <v>8.3333333333333329E-2</v>
      </c>
      <c r="T40" s="49">
        <v>0.15625</v>
      </c>
      <c r="U40" s="30"/>
      <c r="V40" s="168">
        <f t="shared" ref="V40:V43" si="33">(T40-S40)*24*60</f>
        <v>105</v>
      </c>
      <c r="W40" s="25">
        <f>T40</f>
        <v>0.15625</v>
      </c>
      <c r="X40" s="25">
        <f>S41</f>
        <v>0.17708333333333334</v>
      </c>
      <c r="Y40" s="28"/>
      <c r="Z40" s="28"/>
      <c r="AA40" s="568"/>
      <c r="AB40" s="569"/>
      <c r="AC40" s="50">
        <v>4</v>
      </c>
      <c r="AD40" s="27"/>
      <c r="AE40" s="20">
        <f t="shared" si="8"/>
        <v>-91.428571428571331</v>
      </c>
      <c r="AF40" s="167">
        <f t="shared" si="9"/>
        <v>0.95428571428571429</v>
      </c>
      <c r="AG40" s="584">
        <f>AF44</f>
        <v>0.95632127320160509</v>
      </c>
    </row>
    <row r="41" spans="1:33" ht="15.75" customHeight="1">
      <c r="A41" s="590" t="s">
        <v>806</v>
      </c>
      <c r="B41" s="39" t="s">
        <v>104</v>
      </c>
      <c r="C41" s="566" t="s">
        <v>106</v>
      </c>
      <c r="D41" s="567"/>
      <c r="E41" s="39">
        <v>35.119999999999997</v>
      </c>
      <c r="F41" s="170">
        <v>4599</v>
      </c>
      <c r="G41" s="165">
        <f t="shared" si="31"/>
        <v>161516.87999999998</v>
      </c>
      <c r="H41" s="48" t="s">
        <v>126</v>
      </c>
      <c r="I41" s="166">
        <v>10</v>
      </c>
      <c r="J41" s="43">
        <v>3000</v>
      </c>
      <c r="K41" s="18">
        <f t="shared" si="1"/>
        <v>300</v>
      </c>
      <c r="L41" s="166">
        <v>10</v>
      </c>
      <c r="M41" s="19">
        <f t="shared" si="32"/>
        <v>2874.3749999999995</v>
      </c>
      <c r="N41" s="19">
        <f t="shared" si="3"/>
        <v>287.43749999999994</v>
      </c>
      <c r="O41" s="20">
        <f t="shared" si="4"/>
        <v>0</v>
      </c>
      <c r="P41" s="21">
        <f t="shared" si="5"/>
        <v>-12.562500000000057</v>
      </c>
      <c r="Q41" s="167">
        <f t="shared" si="6"/>
        <v>0.95812499999999978</v>
      </c>
      <c r="R41" s="585"/>
      <c r="S41" s="49">
        <v>0.17708333333333334</v>
      </c>
      <c r="T41" s="49">
        <v>0.24375000000000002</v>
      </c>
      <c r="U41" s="165">
        <f t="shared" ref="U41:U43" si="34">(S41-T40)*24*60</f>
        <v>30.000000000000014</v>
      </c>
      <c r="V41" s="168">
        <f t="shared" si="33"/>
        <v>96.000000000000014</v>
      </c>
      <c r="W41" s="25"/>
      <c r="X41" s="25"/>
      <c r="Y41" s="28"/>
      <c r="Z41" s="28"/>
      <c r="AA41" s="568"/>
      <c r="AB41" s="569"/>
      <c r="AC41" s="50"/>
      <c r="AD41" s="27"/>
      <c r="AE41" s="20">
        <f t="shared" si="8"/>
        <v>-125.62500000000045</v>
      </c>
      <c r="AF41" s="167">
        <f t="shared" si="9"/>
        <v>0.95812499999999989</v>
      </c>
      <c r="AG41" s="585"/>
    </row>
    <row r="42" spans="1:33" ht="15.75" customHeight="1">
      <c r="A42" s="590" t="s">
        <v>806</v>
      </c>
      <c r="B42" s="39" t="s">
        <v>104</v>
      </c>
      <c r="C42" s="566" t="s">
        <v>107</v>
      </c>
      <c r="D42" s="567"/>
      <c r="E42" s="39">
        <v>21.13</v>
      </c>
      <c r="F42" s="170">
        <v>4450</v>
      </c>
      <c r="G42" s="165">
        <f t="shared" si="31"/>
        <v>94028.5</v>
      </c>
      <c r="H42" s="48" t="s">
        <v>126</v>
      </c>
      <c r="I42" s="166">
        <v>10</v>
      </c>
      <c r="J42" s="43">
        <v>3000</v>
      </c>
      <c r="K42" s="18">
        <f t="shared" si="1"/>
        <v>300</v>
      </c>
      <c r="L42" s="166">
        <v>10</v>
      </c>
      <c r="M42" s="19">
        <f t="shared" si="32"/>
        <v>2870.967741935483</v>
      </c>
      <c r="N42" s="19">
        <f t="shared" si="3"/>
        <v>287.0967741935483</v>
      </c>
      <c r="O42" s="20">
        <f t="shared" si="4"/>
        <v>0</v>
      </c>
      <c r="P42" s="21">
        <f t="shared" si="5"/>
        <v>-12.903225806451701</v>
      </c>
      <c r="Q42" s="167">
        <f t="shared" si="6"/>
        <v>0.95698924731182766</v>
      </c>
      <c r="R42" s="585"/>
      <c r="S42" s="49">
        <v>0.24930555555555559</v>
      </c>
      <c r="T42" s="49">
        <v>0.31388888888888894</v>
      </c>
      <c r="U42" s="165">
        <f t="shared" si="34"/>
        <v>8.0000000000000107</v>
      </c>
      <c r="V42" s="168">
        <f t="shared" si="33"/>
        <v>93.000000000000028</v>
      </c>
      <c r="W42" s="25"/>
      <c r="X42" s="25"/>
      <c r="Y42" s="28"/>
      <c r="Z42" s="28"/>
      <c r="AA42" s="568"/>
      <c r="AB42" s="569"/>
      <c r="AC42" s="50"/>
      <c r="AD42" s="27"/>
      <c r="AE42" s="20">
        <f t="shared" si="8"/>
        <v>-129.03225806451701</v>
      </c>
      <c r="AF42" s="167">
        <f t="shared" si="9"/>
        <v>0.95698924731182766</v>
      </c>
      <c r="AG42" s="585"/>
    </row>
    <row r="43" spans="1:33" ht="15.75" customHeight="1">
      <c r="A43" s="590" t="s">
        <v>806</v>
      </c>
      <c r="B43" s="39" t="s">
        <v>104</v>
      </c>
      <c r="C43" s="566" t="s">
        <v>108</v>
      </c>
      <c r="D43" s="567"/>
      <c r="E43" s="39">
        <v>27.17</v>
      </c>
      <c r="F43" s="170">
        <v>5779</v>
      </c>
      <c r="G43" s="165">
        <f t="shared" si="31"/>
        <v>157015.43000000002</v>
      </c>
      <c r="H43" s="48" t="s">
        <v>126</v>
      </c>
      <c r="I43" s="166">
        <v>10</v>
      </c>
      <c r="J43" s="43">
        <v>3000</v>
      </c>
      <c r="K43" s="18">
        <f t="shared" si="1"/>
        <v>300</v>
      </c>
      <c r="L43" s="166">
        <v>10</v>
      </c>
      <c r="M43" s="19">
        <f t="shared" si="32"/>
        <v>2865.6198347107447</v>
      </c>
      <c r="N43" s="19">
        <f t="shared" si="3"/>
        <v>286.56198347107448</v>
      </c>
      <c r="O43" s="20">
        <f t="shared" si="4"/>
        <v>0</v>
      </c>
      <c r="P43" s="21">
        <f t="shared" si="5"/>
        <v>-13.438016528925516</v>
      </c>
      <c r="Q43" s="167">
        <f t="shared" si="6"/>
        <v>0.95520661157024833</v>
      </c>
      <c r="R43" s="585"/>
      <c r="S43" s="49">
        <v>0.31736111111111115</v>
      </c>
      <c r="T43" s="49">
        <v>0.40138888888888891</v>
      </c>
      <c r="U43" s="165">
        <f t="shared" si="34"/>
        <v>4.9999999999999822</v>
      </c>
      <c r="V43" s="168">
        <f t="shared" si="33"/>
        <v>120.99999999999997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-134.38016528925527</v>
      </c>
      <c r="AF43" s="167">
        <f t="shared" si="9"/>
        <v>0.95520661157024822</v>
      </c>
      <c r="AG43" s="585"/>
    </row>
    <row r="44" spans="1:33" ht="15.75" customHeight="1">
      <c r="A44" s="591" t="s">
        <v>806</v>
      </c>
      <c r="B44" s="39" t="s">
        <v>805</v>
      </c>
      <c r="C44" s="570"/>
      <c r="D44" s="571"/>
      <c r="E44" s="175"/>
      <c r="F44" s="170"/>
      <c r="G44" s="165"/>
      <c r="H44" s="170"/>
      <c r="I44" s="32">
        <v>10.75</v>
      </c>
      <c r="J44" s="43">
        <v>2750</v>
      </c>
      <c r="K44" s="18">
        <f t="shared" si="1"/>
        <v>255.81395348837211</v>
      </c>
      <c r="L44" s="32">
        <v>10.75</v>
      </c>
      <c r="M44" s="19">
        <f>AVERAGE(M40:M43)</f>
        <v>2629.883501304414</v>
      </c>
      <c r="N44" s="18">
        <f t="shared" si="3"/>
        <v>244.64032570273619</v>
      </c>
      <c r="O44" s="20">
        <f t="shared" si="4"/>
        <v>0</v>
      </c>
      <c r="P44" s="21">
        <f t="shared" si="5"/>
        <v>-11.173627785635915</v>
      </c>
      <c r="Q44" s="167">
        <f t="shared" si="6"/>
        <v>0.95632127320160509</v>
      </c>
      <c r="R44" s="586"/>
      <c r="S44" s="49"/>
      <c r="T44" s="49"/>
      <c r="U44" s="165"/>
      <c r="V44" s="168"/>
      <c r="W44" s="25"/>
      <c r="X44" s="25"/>
      <c r="Y44" s="33">
        <f>SUM(Y40:Y43)</f>
        <v>0</v>
      </c>
      <c r="Z44" s="33">
        <f>SUM(Z40:Z43)</f>
        <v>0</v>
      </c>
      <c r="AA44" s="587"/>
      <c r="AB44" s="588"/>
      <c r="AC44" s="33">
        <v>4</v>
      </c>
      <c r="AD44" s="33">
        <f>SUM(AD40:AD43)</f>
        <v>0</v>
      </c>
      <c r="AE44" s="20">
        <f t="shared" si="8"/>
        <v>-120.11649869558596</v>
      </c>
      <c r="AF44" s="167">
        <f t="shared" si="9"/>
        <v>0.95632127320160509</v>
      </c>
      <c r="AG44" s="586"/>
    </row>
    <row r="45" spans="1:33" ht="15.75" customHeight="1">
      <c r="A45" s="582" t="s">
        <v>807</v>
      </c>
      <c r="B45" s="39" t="s">
        <v>79</v>
      </c>
      <c r="C45" s="574" t="s">
        <v>109</v>
      </c>
      <c r="D45" s="574"/>
      <c r="E45" s="39">
        <v>46</v>
      </c>
      <c r="F45" s="45">
        <v>2016</v>
      </c>
      <c r="G45" s="165">
        <f t="shared" ref="G45:G51" si="35">E45*F45</f>
        <v>92736</v>
      </c>
      <c r="H45" s="48" t="s">
        <v>126</v>
      </c>
      <c r="I45" s="166">
        <v>16</v>
      </c>
      <c r="J45" s="43">
        <v>2000</v>
      </c>
      <c r="K45" s="18">
        <f t="shared" si="1"/>
        <v>125</v>
      </c>
      <c r="L45" s="166">
        <v>16</v>
      </c>
      <c r="M45" s="19">
        <f t="shared" ref="M45" si="36">F45/V45*60</f>
        <v>1920.0000000000009</v>
      </c>
      <c r="N45" s="19">
        <f t="shared" si="3"/>
        <v>120.00000000000006</v>
      </c>
      <c r="O45" s="20">
        <f t="shared" si="4"/>
        <v>0</v>
      </c>
      <c r="P45" s="21">
        <f t="shared" si="5"/>
        <v>-4.9999999999999432</v>
      </c>
      <c r="Q45" s="167">
        <f t="shared" si="6"/>
        <v>0.96000000000000041</v>
      </c>
      <c r="R45" s="573">
        <f>Q52</f>
        <v>0.96159473126380435</v>
      </c>
      <c r="S45" s="49">
        <v>0.20833333333333334</v>
      </c>
      <c r="T45" s="49">
        <v>0.25208333333333333</v>
      </c>
      <c r="U45" s="30"/>
      <c r="V45" s="168">
        <f t="shared" ref="V45:V51" si="37">(T45-S45)*24*60</f>
        <v>62.999999999999979</v>
      </c>
      <c r="W45" s="30"/>
      <c r="X45" s="30"/>
      <c r="Y45" s="30"/>
      <c r="Z45" s="30"/>
      <c r="AA45" s="575"/>
      <c r="AB45" s="575"/>
      <c r="AC45" s="50">
        <v>7</v>
      </c>
      <c r="AD45" s="27"/>
      <c r="AE45" s="20">
        <f t="shared" si="8"/>
        <v>-79.999999999999091</v>
      </c>
      <c r="AF45" s="167">
        <f t="shared" si="9"/>
        <v>0.96000000000000041</v>
      </c>
      <c r="AG45" s="573">
        <f>AF52</f>
        <v>0.96159473126380446</v>
      </c>
    </row>
    <row r="46" spans="1:33" ht="15.75" customHeight="1">
      <c r="A46" s="582" t="s">
        <v>807</v>
      </c>
      <c r="B46" s="39" t="s">
        <v>74</v>
      </c>
      <c r="C46" s="574" t="s">
        <v>110</v>
      </c>
      <c r="D46" s="574"/>
      <c r="E46" s="39">
        <v>56.43</v>
      </c>
      <c r="F46" s="45">
        <v>1090</v>
      </c>
      <c r="G46" s="165">
        <f t="shared" si="35"/>
        <v>61508.7</v>
      </c>
      <c r="H46" s="48" t="s">
        <v>126</v>
      </c>
      <c r="I46" s="166">
        <v>22</v>
      </c>
      <c r="J46" s="43">
        <v>2000</v>
      </c>
      <c r="K46" s="18">
        <f t="shared" si="1"/>
        <v>90.909090909090907</v>
      </c>
      <c r="L46" s="166">
        <v>22</v>
      </c>
      <c r="M46" s="19">
        <f>F46/V46*60</f>
        <v>1923.5294117647036</v>
      </c>
      <c r="N46" s="19">
        <f t="shared" si="3"/>
        <v>87.433155080213794</v>
      </c>
      <c r="O46" s="20">
        <f t="shared" si="4"/>
        <v>0</v>
      </c>
      <c r="P46" s="21">
        <f t="shared" si="5"/>
        <v>-3.4759358288771125</v>
      </c>
      <c r="Q46" s="167">
        <f t="shared" si="6"/>
        <v>0.96176470588235174</v>
      </c>
      <c r="R46" s="573"/>
      <c r="S46" s="49">
        <v>0.25624999999999998</v>
      </c>
      <c r="T46" s="49">
        <v>0.27986111111111112</v>
      </c>
      <c r="U46" s="165">
        <f t="shared" ref="U46:U51" si="38">IF(S46=TIME(17,0,0),"",(S46-T45)*24*60)</f>
        <v>5.9999999999999787</v>
      </c>
      <c r="V46" s="168">
        <f t="shared" si="37"/>
        <v>34.000000000000043</v>
      </c>
      <c r="W46" s="25"/>
      <c r="X46" s="25"/>
      <c r="Y46" s="25"/>
      <c r="Z46" s="25"/>
      <c r="AA46" s="575"/>
      <c r="AB46" s="575"/>
      <c r="AC46" s="50"/>
      <c r="AD46" s="27"/>
      <c r="AE46" s="20">
        <f t="shared" si="8"/>
        <v>-76.470588235296418</v>
      </c>
      <c r="AF46" s="167">
        <f t="shared" si="9"/>
        <v>0.96176470588235174</v>
      </c>
      <c r="AG46" s="573"/>
    </row>
    <row r="47" spans="1:33" ht="15.75" customHeight="1">
      <c r="A47" s="582" t="s">
        <v>807</v>
      </c>
      <c r="B47" s="39" t="s">
        <v>74</v>
      </c>
      <c r="C47" s="566" t="s">
        <v>111</v>
      </c>
      <c r="D47" s="567"/>
      <c r="E47" s="39">
        <v>51.75</v>
      </c>
      <c r="F47" s="45">
        <v>705</v>
      </c>
      <c r="G47" s="165">
        <f t="shared" si="35"/>
        <v>36483.75</v>
      </c>
      <c r="H47" s="48" t="s">
        <v>126</v>
      </c>
      <c r="I47" s="166">
        <v>25</v>
      </c>
      <c r="J47" s="43">
        <v>2000</v>
      </c>
      <c r="K47" s="18">
        <f t="shared" si="1"/>
        <v>80</v>
      </c>
      <c r="L47" s="166">
        <v>25</v>
      </c>
      <c r="M47" s="19">
        <f t="shared" ref="M47:M51" si="39">F47/V47*60</f>
        <v>1922.7272727272727</v>
      </c>
      <c r="N47" s="19">
        <f t="shared" si="3"/>
        <v>76.909090909090907</v>
      </c>
      <c r="O47" s="20">
        <f t="shared" si="4"/>
        <v>0</v>
      </c>
      <c r="P47" s="21">
        <f t="shared" si="5"/>
        <v>-3.0909090909090935</v>
      </c>
      <c r="Q47" s="167">
        <f t="shared" si="6"/>
        <v>0.96136363636363631</v>
      </c>
      <c r="R47" s="573"/>
      <c r="S47" s="49">
        <v>0.28472222222222221</v>
      </c>
      <c r="T47" s="49">
        <v>0.3</v>
      </c>
      <c r="U47" s="165">
        <f t="shared" si="38"/>
        <v>6.9999999999999751</v>
      </c>
      <c r="V47" s="168">
        <f t="shared" si="37"/>
        <v>22</v>
      </c>
      <c r="W47" s="25"/>
      <c r="X47" s="25"/>
      <c r="Y47" s="28"/>
      <c r="Z47" s="28"/>
      <c r="AA47" s="575"/>
      <c r="AB47" s="575"/>
      <c r="AC47" s="50"/>
      <c r="AD47" s="27"/>
      <c r="AE47" s="20">
        <f t="shared" si="8"/>
        <v>-77.272727272727252</v>
      </c>
      <c r="AF47" s="167">
        <f t="shared" si="9"/>
        <v>0.96136363636363642</v>
      </c>
      <c r="AG47" s="573"/>
    </row>
    <row r="48" spans="1:33" ht="15.75" customHeight="1">
      <c r="A48" s="582" t="s">
        <v>807</v>
      </c>
      <c r="B48" s="39" t="s">
        <v>74</v>
      </c>
      <c r="C48" s="173" t="s">
        <v>88</v>
      </c>
      <c r="D48" s="174"/>
      <c r="E48" s="39">
        <v>59.04</v>
      </c>
      <c r="F48" s="45">
        <v>5320</v>
      </c>
      <c r="G48" s="165">
        <f t="shared" si="35"/>
        <v>314092.79999999999</v>
      </c>
      <c r="H48" s="48" t="s">
        <v>126</v>
      </c>
      <c r="I48" s="166">
        <v>19</v>
      </c>
      <c r="J48" s="43">
        <v>2000</v>
      </c>
      <c r="K48" s="18">
        <f t="shared" si="1"/>
        <v>105.26315789473684</v>
      </c>
      <c r="L48" s="166">
        <v>19</v>
      </c>
      <c r="M48" s="19">
        <f t="shared" si="39"/>
        <v>1911.3772455089822</v>
      </c>
      <c r="N48" s="19">
        <f t="shared" si="3"/>
        <v>100.59880239520959</v>
      </c>
      <c r="O48" s="20">
        <f t="shared" si="4"/>
        <v>0</v>
      </c>
      <c r="P48" s="21">
        <f t="shared" si="5"/>
        <v>-4.6643554995272467</v>
      </c>
      <c r="Q48" s="167">
        <f t="shared" si="6"/>
        <v>0.95568862275449118</v>
      </c>
      <c r="R48" s="573"/>
      <c r="S48" s="49">
        <v>0.30486111111111108</v>
      </c>
      <c r="T48" s="49">
        <v>0.42083333333333328</v>
      </c>
      <c r="U48" s="165">
        <f t="shared" si="38"/>
        <v>6.9999999999999751</v>
      </c>
      <c r="V48" s="168">
        <f t="shared" si="37"/>
        <v>166.99999999999997</v>
      </c>
      <c r="W48" s="25"/>
      <c r="X48" s="25"/>
      <c r="Y48" s="28"/>
      <c r="Z48" s="28"/>
      <c r="AA48" s="575"/>
      <c r="AB48" s="575"/>
      <c r="AC48" s="50"/>
      <c r="AD48" s="27"/>
      <c r="AE48" s="20">
        <f t="shared" si="8"/>
        <v>-88.622754491017758</v>
      </c>
      <c r="AF48" s="167">
        <f t="shared" si="9"/>
        <v>0.95568862275449107</v>
      </c>
      <c r="AG48" s="573"/>
    </row>
    <row r="49" spans="1:33" ht="15.75" customHeight="1">
      <c r="A49" s="582" t="s">
        <v>807</v>
      </c>
      <c r="B49" s="39" t="s">
        <v>74</v>
      </c>
      <c r="C49" s="173" t="s">
        <v>112</v>
      </c>
      <c r="D49" s="174"/>
      <c r="E49" s="39">
        <v>55.32</v>
      </c>
      <c r="F49" s="45">
        <v>1248</v>
      </c>
      <c r="G49" s="165">
        <f t="shared" si="35"/>
        <v>69039.360000000001</v>
      </c>
      <c r="H49" s="48" t="s">
        <v>126</v>
      </c>
      <c r="I49" s="166">
        <v>15</v>
      </c>
      <c r="J49" s="43">
        <v>2000</v>
      </c>
      <c r="K49" s="18">
        <f t="shared" si="1"/>
        <v>133.33333333333334</v>
      </c>
      <c r="L49" s="166">
        <v>15</v>
      </c>
      <c r="M49" s="19">
        <f t="shared" si="39"/>
        <v>1919.9999999999989</v>
      </c>
      <c r="N49" s="19">
        <f t="shared" si="3"/>
        <v>127.99999999999993</v>
      </c>
      <c r="O49" s="20">
        <f t="shared" si="4"/>
        <v>0</v>
      </c>
      <c r="P49" s="21">
        <f t="shared" si="5"/>
        <v>-5.3333333333334139</v>
      </c>
      <c r="Q49" s="167">
        <f t="shared" si="6"/>
        <v>0.95999999999999941</v>
      </c>
      <c r="R49" s="573"/>
      <c r="S49" s="49">
        <v>0.70833333333333337</v>
      </c>
      <c r="T49" s="49">
        <v>0.73541666666666672</v>
      </c>
      <c r="U49" s="165" t="str">
        <f t="shared" si="38"/>
        <v/>
      </c>
      <c r="V49" s="168">
        <f t="shared" si="37"/>
        <v>39.000000000000021</v>
      </c>
      <c r="W49" s="25"/>
      <c r="X49" s="25"/>
      <c r="Y49" s="28"/>
      <c r="Z49" s="28"/>
      <c r="AA49" s="575"/>
      <c r="AB49" s="575"/>
      <c r="AC49" s="50"/>
      <c r="AD49" s="27"/>
      <c r="AE49" s="20">
        <f t="shared" si="8"/>
        <v>-80.000000000001137</v>
      </c>
      <c r="AF49" s="167">
        <f t="shared" si="9"/>
        <v>0.95999999999999941</v>
      </c>
      <c r="AG49" s="573"/>
    </row>
    <row r="50" spans="1:33" ht="15.75" customHeight="1">
      <c r="A50" s="582" t="s">
        <v>807</v>
      </c>
      <c r="B50" s="39" t="s">
        <v>74</v>
      </c>
      <c r="C50" s="566" t="s">
        <v>113</v>
      </c>
      <c r="D50" s="567"/>
      <c r="E50" s="39">
        <v>55.56</v>
      </c>
      <c r="F50" s="45">
        <v>1675</v>
      </c>
      <c r="G50" s="165">
        <f t="shared" si="35"/>
        <v>93063</v>
      </c>
      <c r="H50" s="48" t="s">
        <v>126</v>
      </c>
      <c r="I50" s="166">
        <v>17</v>
      </c>
      <c r="J50" s="43">
        <v>2000</v>
      </c>
      <c r="K50" s="18">
        <f t="shared" si="1"/>
        <v>117.64705882352941</v>
      </c>
      <c r="L50" s="166">
        <v>17</v>
      </c>
      <c r="M50" s="19">
        <f t="shared" si="39"/>
        <v>1932.692307692309</v>
      </c>
      <c r="N50" s="19">
        <f t="shared" si="3"/>
        <v>113.68778280542995</v>
      </c>
      <c r="O50" s="20">
        <f t="shared" si="4"/>
        <v>0</v>
      </c>
      <c r="P50" s="21">
        <f t="shared" si="5"/>
        <v>-3.9592760180994588</v>
      </c>
      <c r="Q50" s="167">
        <f t="shared" si="6"/>
        <v>0.96634615384615463</v>
      </c>
      <c r="R50" s="573"/>
      <c r="S50" s="49">
        <v>0.74027777777777781</v>
      </c>
      <c r="T50" s="49">
        <v>0.77638888888888891</v>
      </c>
      <c r="U50" s="165">
        <f t="shared" si="38"/>
        <v>6.9999999999999751</v>
      </c>
      <c r="V50" s="168">
        <f t="shared" si="37"/>
        <v>51.999999999999972</v>
      </c>
      <c r="W50" s="25"/>
      <c r="X50" s="25"/>
      <c r="Y50" s="28"/>
      <c r="Z50" s="28"/>
      <c r="AA50" s="568"/>
      <c r="AB50" s="569"/>
      <c r="AC50" s="50"/>
      <c r="AD50" s="27"/>
      <c r="AE50" s="20">
        <f t="shared" si="8"/>
        <v>-67.307692307691013</v>
      </c>
      <c r="AF50" s="167">
        <f t="shared" si="9"/>
        <v>0.96634615384615452</v>
      </c>
      <c r="AG50" s="573"/>
    </row>
    <row r="51" spans="1:33" ht="15.75" customHeight="1">
      <c r="A51" s="582" t="s">
        <v>807</v>
      </c>
      <c r="B51" s="39" t="s">
        <v>74</v>
      </c>
      <c r="C51" s="566" t="s">
        <v>114</v>
      </c>
      <c r="D51" s="567"/>
      <c r="E51" s="39">
        <v>54.29</v>
      </c>
      <c r="F51" s="45">
        <v>805</v>
      </c>
      <c r="G51" s="165">
        <f t="shared" si="35"/>
        <v>43703.45</v>
      </c>
      <c r="H51" s="48" t="s">
        <v>126</v>
      </c>
      <c r="I51" s="166">
        <v>20</v>
      </c>
      <c r="J51" s="43">
        <v>2000</v>
      </c>
      <c r="K51" s="18">
        <f t="shared" si="1"/>
        <v>100</v>
      </c>
      <c r="L51" s="166">
        <v>20</v>
      </c>
      <c r="M51" s="19">
        <f t="shared" si="39"/>
        <v>1931.9999999999945</v>
      </c>
      <c r="N51" s="19">
        <f t="shared" si="3"/>
        <v>96.599999999999724</v>
      </c>
      <c r="O51" s="20">
        <f t="shared" si="4"/>
        <v>0</v>
      </c>
      <c r="P51" s="21">
        <f t="shared" si="5"/>
        <v>-3.4000000000002757</v>
      </c>
      <c r="Q51" s="167">
        <f t="shared" si="6"/>
        <v>0.96599999999999719</v>
      </c>
      <c r="R51" s="573"/>
      <c r="S51" s="49">
        <v>0.78125</v>
      </c>
      <c r="T51" s="49">
        <v>0.79861111111111116</v>
      </c>
      <c r="U51" s="165">
        <f t="shared" si="38"/>
        <v>6.9999999999999751</v>
      </c>
      <c r="V51" s="168">
        <f t="shared" si="37"/>
        <v>25.000000000000071</v>
      </c>
      <c r="W51" s="25"/>
      <c r="X51" s="25"/>
      <c r="Y51" s="28"/>
      <c r="Z51" s="28"/>
      <c r="AA51" s="568"/>
      <c r="AB51" s="569"/>
      <c r="AC51" s="50"/>
      <c r="AD51" s="27"/>
      <c r="AE51" s="20">
        <f t="shared" si="8"/>
        <v>-68.000000000005457</v>
      </c>
      <c r="AF51" s="167">
        <f t="shared" si="9"/>
        <v>0.96599999999999731</v>
      </c>
      <c r="AG51" s="573"/>
    </row>
    <row r="52" spans="1:33">
      <c r="A52" s="583" t="s">
        <v>807</v>
      </c>
      <c r="B52" s="39" t="s">
        <v>805</v>
      </c>
      <c r="C52" s="576"/>
      <c r="D52" s="576"/>
      <c r="E52" s="172"/>
      <c r="F52" s="42"/>
      <c r="G52" s="18"/>
      <c r="H52" s="170"/>
      <c r="I52" s="32">
        <v>19.142857142857142</v>
      </c>
      <c r="J52" s="43">
        <v>2000</v>
      </c>
      <c r="K52" s="18">
        <f t="shared" si="1"/>
        <v>104.47761194029852</v>
      </c>
      <c r="L52" s="32">
        <v>19.142857142857142</v>
      </c>
      <c r="M52" s="19">
        <f>AVERAGE(M45:M51)</f>
        <v>1923.1894625276088</v>
      </c>
      <c r="N52" s="18">
        <f t="shared" si="3"/>
        <v>100.46512117681539</v>
      </c>
      <c r="O52" s="20">
        <f t="shared" si="4"/>
        <v>0</v>
      </c>
      <c r="P52" s="21">
        <f t="shared" si="5"/>
        <v>-4.0124907634831288</v>
      </c>
      <c r="Q52" s="167">
        <f t="shared" si="6"/>
        <v>0.96159473126380435</v>
      </c>
      <c r="R52" s="573"/>
      <c r="S52" s="49"/>
      <c r="T52" s="49"/>
      <c r="U52" s="165"/>
      <c r="V52" s="168"/>
      <c r="W52" s="18"/>
      <c r="X52" s="18"/>
      <c r="Y52" s="33">
        <f>SUM(Y45:Y51)</f>
        <v>0</v>
      </c>
      <c r="Z52" s="33">
        <f>SUM(Z45:Z51)</f>
        <v>0</v>
      </c>
      <c r="AA52" s="572"/>
      <c r="AB52" s="572"/>
      <c r="AC52" s="33">
        <v>7</v>
      </c>
      <c r="AD52" s="33">
        <f>SUM(AD45:AD51)</f>
        <v>0</v>
      </c>
      <c r="AE52" s="20">
        <f>M52-J52</f>
        <v>-76.810537472391161</v>
      </c>
      <c r="AF52" s="167">
        <f t="shared" si="9"/>
        <v>0.96159473126380446</v>
      </c>
      <c r="AG52" s="573"/>
    </row>
    <row r="53" spans="1:33" ht="15.75" customHeight="1">
      <c r="A53" s="580" t="s">
        <v>808</v>
      </c>
      <c r="B53" s="170" t="s">
        <v>104</v>
      </c>
      <c r="C53" s="574" t="s">
        <v>115</v>
      </c>
      <c r="D53" s="574"/>
      <c r="E53" s="39">
        <v>34.36</v>
      </c>
      <c r="F53" s="45">
        <v>1707</v>
      </c>
      <c r="G53" s="165">
        <f t="shared" ref="G53:G58" si="40">E53*F53</f>
        <v>58652.52</v>
      </c>
      <c r="H53" s="48" t="s">
        <v>126</v>
      </c>
      <c r="I53" s="166">
        <v>10</v>
      </c>
      <c r="J53" s="43">
        <v>3000</v>
      </c>
      <c r="K53" s="18">
        <f t="shared" si="1"/>
        <v>300</v>
      </c>
      <c r="L53" s="166">
        <v>10</v>
      </c>
      <c r="M53" s="19">
        <f t="shared" ref="M53:M58" si="41">F53/V53*60</f>
        <v>2926.2857142857147</v>
      </c>
      <c r="N53" s="18">
        <f t="shared" si="3"/>
        <v>292.62857142857149</v>
      </c>
      <c r="O53" s="20">
        <f t="shared" si="4"/>
        <v>0</v>
      </c>
      <c r="P53" s="21">
        <f t="shared" si="5"/>
        <v>-7.3714285714285097</v>
      </c>
      <c r="Q53" s="167">
        <f t="shared" si="6"/>
        <v>0.97542857142857164</v>
      </c>
      <c r="R53" s="573">
        <f>Q59</f>
        <v>0.97334859474261659</v>
      </c>
      <c r="S53" s="49">
        <v>0.20833333333333334</v>
      </c>
      <c r="T53" s="49">
        <v>0.2326388888888889</v>
      </c>
      <c r="U53" s="165"/>
      <c r="V53" s="168">
        <f t="shared" ref="V53:V58" si="42">(T53-S53)*24*60</f>
        <v>34.999999999999993</v>
      </c>
      <c r="W53" s="30"/>
      <c r="X53" s="30"/>
      <c r="Y53" s="30"/>
      <c r="Z53" s="30"/>
      <c r="AA53" s="575"/>
      <c r="AB53" s="575"/>
      <c r="AC53" s="50">
        <v>6</v>
      </c>
      <c r="AD53" s="27"/>
      <c r="AE53" s="20">
        <f t="shared" ref="AE53:AE66" si="43">M53-J53</f>
        <v>-73.714285714285325</v>
      </c>
      <c r="AF53" s="167">
        <f t="shared" si="9"/>
        <v>0.97542857142857153</v>
      </c>
      <c r="AG53" s="573">
        <f>AF59</f>
        <v>0.97334859474261659</v>
      </c>
    </row>
    <row r="54" spans="1:33" ht="15.75" customHeight="1">
      <c r="A54" s="580" t="s">
        <v>808</v>
      </c>
      <c r="B54" s="170" t="s">
        <v>104</v>
      </c>
      <c r="C54" s="574" t="s">
        <v>116</v>
      </c>
      <c r="D54" s="574"/>
      <c r="E54" s="39">
        <v>34.36</v>
      </c>
      <c r="F54" s="45">
        <v>800</v>
      </c>
      <c r="G54" s="165">
        <f t="shared" si="40"/>
        <v>27488</v>
      </c>
      <c r="H54" s="48" t="s">
        <v>126</v>
      </c>
      <c r="I54" s="166">
        <v>10</v>
      </c>
      <c r="J54" s="43">
        <v>3000</v>
      </c>
      <c r="K54" s="18">
        <f t="shared" si="1"/>
        <v>300</v>
      </c>
      <c r="L54" s="166">
        <v>10</v>
      </c>
      <c r="M54" s="19">
        <f t="shared" si="41"/>
        <v>3000.0000000000036</v>
      </c>
      <c r="N54" s="18">
        <f t="shared" si="3"/>
        <v>300.00000000000034</v>
      </c>
      <c r="O54" s="20">
        <f t="shared" si="4"/>
        <v>0</v>
      </c>
      <c r="P54" s="21">
        <f t="shared" si="5"/>
        <v>0</v>
      </c>
      <c r="Q54" s="167">
        <f t="shared" si="6"/>
        <v>1.0000000000000011</v>
      </c>
      <c r="R54" s="573"/>
      <c r="S54" s="49">
        <v>0.23819444444444446</v>
      </c>
      <c r="T54" s="49">
        <v>0.24930555555555556</v>
      </c>
      <c r="U54" s="165">
        <f t="shared" ref="U54:U58" si="44">(S54-T53)*24*60</f>
        <v>8.0000000000000107</v>
      </c>
      <c r="V54" s="168">
        <f t="shared" si="42"/>
        <v>15.999999999999982</v>
      </c>
      <c r="W54" s="165"/>
      <c r="X54" s="165"/>
      <c r="Y54" s="165"/>
      <c r="Z54" s="165"/>
      <c r="AA54" s="575"/>
      <c r="AB54" s="575"/>
      <c r="AC54" s="50"/>
      <c r="AD54" s="27"/>
      <c r="AE54" s="20">
        <f t="shared" si="43"/>
        <v>3.637978807091713E-12</v>
      </c>
      <c r="AF54" s="167">
        <f t="shared" si="9"/>
        <v>1.0000000000000011</v>
      </c>
      <c r="AG54" s="573"/>
    </row>
    <row r="55" spans="1:33" ht="15.75" customHeight="1">
      <c r="A55" s="580" t="s">
        <v>808</v>
      </c>
      <c r="B55" s="170" t="s">
        <v>104</v>
      </c>
      <c r="C55" s="574" t="s">
        <v>117</v>
      </c>
      <c r="D55" s="574"/>
      <c r="E55" s="39">
        <v>26.78</v>
      </c>
      <c r="F55" s="45">
        <v>1889</v>
      </c>
      <c r="G55" s="165">
        <f t="shared" si="40"/>
        <v>50587.420000000006</v>
      </c>
      <c r="H55" s="48" t="s">
        <v>126</v>
      </c>
      <c r="I55" s="166">
        <v>10</v>
      </c>
      <c r="J55" s="43">
        <v>3000</v>
      </c>
      <c r="K55" s="18">
        <f t="shared" si="1"/>
        <v>300</v>
      </c>
      <c r="L55" s="166">
        <v>10</v>
      </c>
      <c r="M55" s="19">
        <f t="shared" si="41"/>
        <v>2906.1538461538444</v>
      </c>
      <c r="N55" s="18">
        <f t="shared" si="3"/>
        <v>290.61538461538441</v>
      </c>
      <c r="O55" s="20">
        <f t="shared" si="4"/>
        <v>0</v>
      </c>
      <c r="P55" s="21">
        <f t="shared" si="5"/>
        <v>-9.3846153846155858</v>
      </c>
      <c r="Q55" s="167">
        <f t="shared" si="6"/>
        <v>0.96871794871794803</v>
      </c>
      <c r="R55" s="573"/>
      <c r="S55" s="49">
        <v>0.25277777777777777</v>
      </c>
      <c r="T55" s="49">
        <v>0.27986111111111112</v>
      </c>
      <c r="U55" s="165">
        <f t="shared" si="44"/>
        <v>4.9999999999999822</v>
      </c>
      <c r="V55" s="168">
        <f t="shared" si="42"/>
        <v>39.000000000000021</v>
      </c>
      <c r="W55" s="165"/>
      <c r="X55" s="165"/>
      <c r="Y55" s="165"/>
      <c r="Z55" s="165"/>
      <c r="AA55" s="575"/>
      <c r="AB55" s="575"/>
      <c r="AC55" s="50"/>
      <c r="AD55" s="27"/>
      <c r="AE55" s="20">
        <f t="shared" si="43"/>
        <v>-93.84615384615563</v>
      </c>
      <c r="AF55" s="167">
        <f t="shared" si="9"/>
        <v>0.96871794871794814</v>
      </c>
      <c r="AG55" s="573"/>
    </row>
    <row r="56" spans="1:33" ht="15.75" customHeight="1">
      <c r="A56" s="580" t="s">
        <v>808</v>
      </c>
      <c r="B56" s="170" t="s">
        <v>104</v>
      </c>
      <c r="C56" s="574" t="s">
        <v>118</v>
      </c>
      <c r="D56" s="574"/>
      <c r="E56" s="39">
        <v>37.880000000000003</v>
      </c>
      <c r="F56" s="45">
        <v>1109</v>
      </c>
      <c r="G56" s="165">
        <f t="shared" si="40"/>
        <v>42008.920000000006</v>
      </c>
      <c r="H56" s="48" t="s">
        <v>126</v>
      </c>
      <c r="I56" s="166">
        <v>10</v>
      </c>
      <c r="J56" s="43">
        <v>3000</v>
      </c>
      <c r="K56" s="18">
        <f t="shared" si="1"/>
        <v>300</v>
      </c>
      <c r="L56" s="166">
        <v>10</v>
      </c>
      <c r="M56" s="19">
        <f t="shared" si="41"/>
        <v>2893.0434782608695</v>
      </c>
      <c r="N56" s="18">
        <f t="shared" si="3"/>
        <v>289.30434782608694</v>
      </c>
      <c r="O56" s="20">
        <f t="shared" si="4"/>
        <v>0</v>
      </c>
      <c r="P56" s="21">
        <f t="shared" si="5"/>
        <v>-10.695652173913061</v>
      </c>
      <c r="Q56" s="167">
        <f t="shared" si="6"/>
        <v>0.96434782608695646</v>
      </c>
      <c r="R56" s="573"/>
      <c r="S56" s="49">
        <v>0.28402777777777777</v>
      </c>
      <c r="T56" s="49">
        <v>0.3</v>
      </c>
      <c r="U56" s="165">
        <f t="shared" si="44"/>
        <v>5.9999999999999787</v>
      </c>
      <c r="V56" s="168">
        <f t="shared" si="42"/>
        <v>23</v>
      </c>
      <c r="W56" s="165"/>
      <c r="X56" s="165"/>
      <c r="Y56" s="165"/>
      <c r="Z56" s="165"/>
      <c r="AA56" s="575"/>
      <c r="AB56" s="575"/>
      <c r="AC56" s="50"/>
      <c r="AD56" s="27"/>
      <c r="AE56" s="20">
        <f t="shared" si="43"/>
        <v>-106.95652173913049</v>
      </c>
      <c r="AF56" s="167">
        <f t="shared" si="9"/>
        <v>0.96434782608695646</v>
      </c>
      <c r="AG56" s="573"/>
    </row>
    <row r="57" spans="1:33">
      <c r="A57" s="581" t="s">
        <v>808</v>
      </c>
      <c r="B57" s="170" t="s">
        <v>104</v>
      </c>
      <c r="C57" s="574" t="s">
        <v>119</v>
      </c>
      <c r="D57" s="574"/>
      <c r="E57" s="39">
        <v>35.869999999999997</v>
      </c>
      <c r="F57" s="45">
        <v>3086</v>
      </c>
      <c r="G57" s="165">
        <f t="shared" si="40"/>
        <v>110694.81999999999</v>
      </c>
      <c r="H57" s="48" t="s">
        <v>126</v>
      </c>
      <c r="I57" s="166">
        <v>9</v>
      </c>
      <c r="J57" s="43">
        <v>3000</v>
      </c>
      <c r="K57" s="18">
        <f t="shared" si="1"/>
        <v>333.33333333333331</v>
      </c>
      <c r="L57" s="166">
        <v>9</v>
      </c>
      <c r="M57" s="19">
        <f t="shared" si="41"/>
        <v>2893.1249999999991</v>
      </c>
      <c r="N57" s="18">
        <f t="shared" si="3"/>
        <v>321.45833333333326</v>
      </c>
      <c r="O57" s="20">
        <f t="shared" si="4"/>
        <v>0</v>
      </c>
      <c r="P57" s="21">
        <f t="shared" si="5"/>
        <v>-11.875000000000057</v>
      </c>
      <c r="Q57" s="167">
        <f t="shared" si="6"/>
        <v>0.96437499999999987</v>
      </c>
      <c r="R57" s="573"/>
      <c r="S57" s="49">
        <v>0.3034722222222222</v>
      </c>
      <c r="T57" s="49">
        <v>0.34791666666666665</v>
      </c>
      <c r="U57" s="165">
        <f t="shared" si="44"/>
        <v>4.9999999999999822</v>
      </c>
      <c r="V57" s="168">
        <f t="shared" si="42"/>
        <v>64.000000000000014</v>
      </c>
      <c r="W57" s="25"/>
      <c r="X57" s="25"/>
      <c r="Y57" s="25"/>
      <c r="Z57" s="25"/>
      <c r="AA57" s="575"/>
      <c r="AB57" s="575"/>
      <c r="AC57" s="50"/>
      <c r="AD57" s="27"/>
      <c r="AE57" s="20">
        <f t="shared" si="43"/>
        <v>-106.87500000000091</v>
      </c>
      <c r="AF57" s="167">
        <f t="shared" si="9"/>
        <v>0.96437499999999965</v>
      </c>
      <c r="AG57" s="573"/>
    </row>
    <row r="58" spans="1:33" ht="15" customHeight="1">
      <c r="A58" s="581" t="s">
        <v>808</v>
      </c>
      <c r="B58" s="170" t="s">
        <v>104</v>
      </c>
      <c r="C58" s="566" t="s">
        <v>120</v>
      </c>
      <c r="D58" s="567"/>
      <c r="E58" s="39">
        <v>34.35</v>
      </c>
      <c r="F58" s="45">
        <v>1741</v>
      </c>
      <c r="G58" s="165">
        <f t="shared" si="40"/>
        <v>59803.350000000006</v>
      </c>
      <c r="H58" s="48" t="s">
        <v>126</v>
      </c>
      <c r="I58" s="166">
        <v>8</v>
      </c>
      <c r="J58" s="43">
        <v>3000</v>
      </c>
      <c r="K58" s="18">
        <f t="shared" si="1"/>
        <v>375</v>
      </c>
      <c r="L58" s="166">
        <v>8</v>
      </c>
      <c r="M58" s="19">
        <f t="shared" si="41"/>
        <v>2901.6666666666642</v>
      </c>
      <c r="N58" s="18">
        <f t="shared" si="3"/>
        <v>362.70833333333303</v>
      </c>
      <c r="O58" s="20">
        <f t="shared" si="4"/>
        <v>0</v>
      </c>
      <c r="P58" s="21">
        <f t="shared" si="5"/>
        <v>-12.29166666666697</v>
      </c>
      <c r="Q58" s="167">
        <f t="shared" si="6"/>
        <v>0.96722222222222143</v>
      </c>
      <c r="R58" s="573"/>
      <c r="S58" s="49">
        <v>0.35138888888888886</v>
      </c>
      <c r="T58" s="49">
        <v>0.37638888888888888</v>
      </c>
      <c r="U58" s="165">
        <f t="shared" si="44"/>
        <v>4.9999999999999822</v>
      </c>
      <c r="V58" s="168">
        <f t="shared" si="42"/>
        <v>36.000000000000028</v>
      </c>
      <c r="W58" s="165"/>
      <c r="X58" s="165"/>
      <c r="Y58" s="171"/>
      <c r="Z58" s="171"/>
      <c r="AA58" s="568"/>
      <c r="AB58" s="569"/>
      <c r="AC58" s="50"/>
      <c r="AD58" s="27"/>
      <c r="AE58" s="20">
        <f t="shared" si="43"/>
        <v>-98.333333333335759</v>
      </c>
      <c r="AF58" s="167">
        <f t="shared" si="9"/>
        <v>0.96722222222222143</v>
      </c>
      <c r="AG58" s="573"/>
    </row>
    <row r="59" spans="1:33">
      <c r="A59" s="581" t="s">
        <v>808</v>
      </c>
      <c r="B59" s="39" t="s">
        <v>805</v>
      </c>
      <c r="C59" s="576"/>
      <c r="D59" s="576"/>
      <c r="E59" s="172"/>
      <c r="F59" s="42"/>
      <c r="G59" s="18"/>
      <c r="H59" s="170"/>
      <c r="I59" s="32">
        <v>9.5</v>
      </c>
      <c r="J59" s="43">
        <v>3000</v>
      </c>
      <c r="K59" s="18">
        <f t="shared" si="1"/>
        <v>315.78947368421052</v>
      </c>
      <c r="L59" s="32">
        <v>9.5</v>
      </c>
      <c r="M59" s="19">
        <f>AVERAGE(M53:M58)</f>
        <v>2920.0457842278497</v>
      </c>
      <c r="N59" s="18">
        <f t="shared" si="3"/>
        <v>307.3732404450368</v>
      </c>
      <c r="O59" s="20">
        <f t="shared" si="4"/>
        <v>0</v>
      </c>
      <c r="P59" s="21">
        <f t="shared" si="5"/>
        <v>-8.4162332391737209</v>
      </c>
      <c r="Q59" s="167">
        <f t="shared" si="6"/>
        <v>0.97334859474261659</v>
      </c>
      <c r="R59" s="573"/>
      <c r="S59" s="49"/>
      <c r="T59" s="49"/>
      <c r="U59" s="18"/>
      <c r="V59" s="168"/>
      <c r="W59" s="18"/>
      <c r="X59" s="18"/>
      <c r="Y59" s="33">
        <f>SUM(Y53:Y58)</f>
        <v>0</v>
      </c>
      <c r="Z59" s="33">
        <f>SUM(Z53:Z58)</f>
        <v>0</v>
      </c>
      <c r="AA59" s="572"/>
      <c r="AB59" s="572"/>
      <c r="AC59" s="33">
        <v>6</v>
      </c>
      <c r="AD59" s="33">
        <f>SUM(AD53:AD58)</f>
        <v>0</v>
      </c>
      <c r="AE59" s="20">
        <f t="shared" si="43"/>
        <v>-79.954215772150292</v>
      </c>
      <c r="AF59" s="167">
        <f t="shared" si="9"/>
        <v>0.97334859474261659</v>
      </c>
      <c r="AG59" s="573"/>
    </row>
    <row r="60" spans="1:33" ht="15.75" customHeight="1">
      <c r="A60" s="577" t="s">
        <v>809</v>
      </c>
      <c r="B60" s="170" t="s">
        <v>94</v>
      </c>
      <c r="C60" s="574" t="s">
        <v>124</v>
      </c>
      <c r="D60" s="574"/>
      <c r="E60" s="39">
        <v>22.69</v>
      </c>
      <c r="F60" s="170">
        <v>4151</v>
      </c>
      <c r="G60" s="165">
        <f t="shared" ref="G60:G65" si="45">E60*F60</f>
        <v>94186.19</v>
      </c>
      <c r="H60" s="48" t="s">
        <v>126</v>
      </c>
      <c r="I60" s="166">
        <v>15</v>
      </c>
      <c r="J60" s="43">
        <v>2400</v>
      </c>
      <c r="K60" s="18">
        <f t="shared" si="1"/>
        <v>160</v>
      </c>
      <c r="L60" s="166">
        <v>15</v>
      </c>
      <c r="M60" s="19">
        <f t="shared" ref="M60:M65" si="46">F60/V60*60</f>
        <v>2284.9541284403672</v>
      </c>
      <c r="N60" s="18">
        <f t="shared" si="3"/>
        <v>152.33027522935782</v>
      </c>
      <c r="O60" s="20">
        <f t="shared" si="4"/>
        <v>0</v>
      </c>
      <c r="P60" s="21">
        <f t="shared" si="5"/>
        <v>-7.6697247706421763</v>
      </c>
      <c r="Q60" s="167">
        <f t="shared" si="6"/>
        <v>0.95206422018348635</v>
      </c>
      <c r="R60" s="573">
        <f>Q66</f>
        <v>0.95379939764316435</v>
      </c>
      <c r="S60" s="49">
        <v>8.3333333333333329E-2</v>
      </c>
      <c r="T60" s="49">
        <v>0.15902777777777777</v>
      </c>
      <c r="U60" s="30"/>
      <c r="V60" s="168">
        <f t="shared" ref="V60:V65" si="47">(T60-S60)*24*60</f>
        <v>108.99999999999999</v>
      </c>
      <c r="W60" s="25">
        <f>T60</f>
        <v>0.15902777777777777</v>
      </c>
      <c r="X60" s="25">
        <f>S61</f>
        <v>0.17916666666666667</v>
      </c>
      <c r="Y60" s="25"/>
      <c r="Z60" s="25"/>
      <c r="AA60" s="575"/>
      <c r="AB60" s="575"/>
      <c r="AC60" s="50">
        <v>6</v>
      </c>
      <c r="AD60" s="27"/>
      <c r="AE60" s="20">
        <f t="shared" si="43"/>
        <v>-115.04587155963281</v>
      </c>
      <c r="AF60" s="167">
        <f t="shared" si="9"/>
        <v>0.95206422018348635</v>
      </c>
      <c r="AG60" s="573">
        <f>AF66</f>
        <v>0.95379939764316435</v>
      </c>
    </row>
    <row r="61" spans="1:33" ht="15.75" customHeight="1">
      <c r="A61" s="578" t="s">
        <v>809</v>
      </c>
      <c r="B61" s="170" t="s">
        <v>94</v>
      </c>
      <c r="C61" s="574" t="s">
        <v>101</v>
      </c>
      <c r="D61" s="574"/>
      <c r="E61" s="39">
        <v>25.98</v>
      </c>
      <c r="F61" s="170">
        <v>2867</v>
      </c>
      <c r="G61" s="165">
        <f t="shared" si="45"/>
        <v>74484.66</v>
      </c>
      <c r="H61" s="48" t="s">
        <v>126</v>
      </c>
      <c r="I61" s="166">
        <v>19</v>
      </c>
      <c r="J61" s="43">
        <v>2400</v>
      </c>
      <c r="K61" s="18">
        <f t="shared" si="1"/>
        <v>126.31578947368421</v>
      </c>
      <c r="L61" s="166">
        <v>19</v>
      </c>
      <c r="M61" s="19">
        <f t="shared" si="46"/>
        <v>2293.5999999999995</v>
      </c>
      <c r="N61" s="18">
        <f t="shared" si="3"/>
        <v>120.71578947368418</v>
      </c>
      <c r="O61" s="20">
        <f t="shared" si="4"/>
        <v>0</v>
      </c>
      <c r="P61" s="21">
        <f t="shared" si="5"/>
        <v>-5.6000000000000227</v>
      </c>
      <c r="Q61" s="167">
        <f t="shared" si="6"/>
        <v>0.95566666666666644</v>
      </c>
      <c r="R61" s="573"/>
      <c r="S61" s="49">
        <v>0.17916666666666667</v>
      </c>
      <c r="T61" s="49">
        <v>0.23125000000000001</v>
      </c>
      <c r="U61" s="165">
        <f t="shared" ref="U61:U65" si="48">(S61-T60)*24*60</f>
        <v>29.000000000000018</v>
      </c>
      <c r="V61" s="168">
        <f t="shared" si="47"/>
        <v>75.000000000000014</v>
      </c>
      <c r="W61" s="25"/>
      <c r="X61" s="25"/>
      <c r="Y61" s="25"/>
      <c r="Z61" s="25"/>
      <c r="AA61" s="575"/>
      <c r="AB61" s="575"/>
      <c r="AC61" s="50"/>
      <c r="AD61" s="27"/>
      <c r="AE61" s="20">
        <f t="shared" si="43"/>
        <v>-106.40000000000055</v>
      </c>
      <c r="AF61" s="167">
        <f t="shared" si="9"/>
        <v>0.95566666666666644</v>
      </c>
      <c r="AG61" s="573"/>
    </row>
    <row r="62" spans="1:33" ht="15.75" customHeight="1">
      <c r="A62" s="578" t="s">
        <v>809</v>
      </c>
      <c r="B62" s="170" t="s">
        <v>94</v>
      </c>
      <c r="C62" s="574" t="s">
        <v>123</v>
      </c>
      <c r="D62" s="574"/>
      <c r="E62" s="39">
        <v>20.21</v>
      </c>
      <c r="F62" s="170">
        <v>2818</v>
      </c>
      <c r="G62" s="165">
        <f t="shared" si="45"/>
        <v>56951.78</v>
      </c>
      <c r="H62" s="48" t="s">
        <v>126</v>
      </c>
      <c r="I62" s="166">
        <v>15</v>
      </c>
      <c r="J62" s="43">
        <v>2400</v>
      </c>
      <c r="K62" s="18">
        <f t="shared" si="1"/>
        <v>160</v>
      </c>
      <c r="L62" s="166">
        <v>15</v>
      </c>
      <c r="M62" s="19">
        <f t="shared" si="46"/>
        <v>2284.8648648648659</v>
      </c>
      <c r="N62" s="18">
        <f t="shared" si="3"/>
        <v>152.32432432432441</v>
      </c>
      <c r="O62" s="20">
        <f t="shared" si="4"/>
        <v>0</v>
      </c>
      <c r="P62" s="21">
        <f t="shared" si="5"/>
        <v>-7.6756756756755919</v>
      </c>
      <c r="Q62" s="167">
        <f t="shared" si="6"/>
        <v>0.95202702702702757</v>
      </c>
      <c r="R62" s="573"/>
      <c r="S62" s="49">
        <v>0.23472222222222222</v>
      </c>
      <c r="T62" s="49">
        <v>0.28611111111111109</v>
      </c>
      <c r="U62" s="165">
        <f t="shared" si="48"/>
        <v>4.9999999999999822</v>
      </c>
      <c r="V62" s="168">
        <f t="shared" si="47"/>
        <v>73.999999999999972</v>
      </c>
      <c r="W62" s="25"/>
      <c r="X62" s="25"/>
      <c r="Y62" s="25"/>
      <c r="Z62" s="25"/>
      <c r="AA62" s="575"/>
      <c r="AB62" s="575"/>
      <c r="AC62" s="50"/>
      <c r="AD62" s="27"/>
      <c r="AE62" s="20">
        <f t="shared" si="43"/>
        <v>-115.13513513513408</v>
      </c>
      <c r="AF62" s="167">
        <f t="shared" si="9"/>
        <v>0.95202702702702746</v>
      </c>
      <c r="AG62" s="573"/>
    </row>
    <row r="63" spans="1:33" ht="15.75" customHeight="1">
      <c r="A63" s="578" t="s">
        <v>809</v>
      </c>
      <c r="B63" s="170" t="s">
        <v>94</v>
      </c>
      <c r="C63" s="574" t="s">
        <v>125</v>
      </c>
      <c r="D63" s="574"/>
      <c r="E63" s="39">
        <v>19.02</v>
      </c>
      <c r="F63" s="170">
        <v>5600</v>
      </c>
      <c r="G63" s="165">
        <f t="shared" si="45"/>
        <v>106512</v>
      </c>
      <c r="H63" s="48">
        <v>2</v>
      </c>
      <c r="I63" s="166">
        <v>14</v>
      </c>
      <c r="J63" s="43">
        <v>2400</v>
      </c>
      <c r="K63" s="18">
        <f t="shared" si="1"/>
        <v>171.42857142857142</v>
      </c>
      <c r="L63" s="166">
        <v>14</v>
      </c>
      <c r="M63" s="19">
        <f t="shared" si="46"/>
        <v>2285.7142857142853</v>
      </c>
      <c r="N63" s="18">
        <f t="shared" si="3"/>
        <v>163.26530612244895</v>
      </c>
      <c r="O63" s="20">
        <f t="shared" si="4"/>
        <v>0</v>
      </c>
      <c r="P63" s="21">
        <f t="shared" si="5"/>
        <v>-8.1632653061224687</v>
      </c>
      <c r="Q63" s="167">
        <f t="shared" si="6"/>
        <v>0.95238095238095222</v>
      </c>
      <c r="R63" s="573"/>
      <c r="S63" s="49">
        <v>0.29097222222222219</v>
      </c>
      <c r="T63" s="49">
        <v>0.39305555555555555</v>
      </c>
      <c r="U63" s="165">
        <f t="shared" si="48"/>
        <v>6.9999999999999751</v>
      </c>
      <c r="V63" s="168">
        <f t="shared" si="47"/>
        <v>147.00000000000003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-114.28571428571468</v>
      </c>
      <c r="AF63" s="167">
        <f t="shared" si="9"/>
        <v>0.95238095238095222</v>
      </c>
      <c r="AG63" s="573"/>
    </row>
    <row r="64" spans="1:33" ht="15.75" customHeight="1">
      <c r="A64" s="578" t="s">
        <v>809</v>
      </c>
      <c r="B64" s="170" t="s">
        <v>94</v>
      </c>
      <c r="C64" s="574" t="s">
        <v>99</v>
      </c>
      <c r="D64" s="574"/>
      <c r="E64" s="39">
        <v>20.36</v>
      </c>
      <c r="F64" s="170">
        <v>4653</v>
      </c>
      <c r="G64" s="165">
        <f t="shared" si="45"/>
        <v>94735.08</v>
      </c>
      <c r="H64" s="48" t="s">
        <v>126</v>
      </c>
      <c r="I64" s="166">
        <v>18</v>
      </c>
      <c r="J64" s="43">
        <v>2400</v>
      </c>
      <c r="K64" s="18">
        <f t="shared" si="1"/>
        <v>133.33333333333334</v>
      </c>
      <c r="L64" s="166">
        <v>18</v>
      </c>
      <c r="M64" s="19">
        <f t="shared" si="46"/>
        <v>2288.3606557377052</v>
      </c>
      <c r="N64" s="18">
        <f t="shared" si="3"/>
        <v>127.13114754098362</v>
      </c>
      <c r="O64" s="20">
        <f t="shared" si="4"/>
        <v>0</v>
      </c>
      <c r="P64" s="21">
        <f t="shared" si="5"/>
        <v>-6.2021857923497237</v>
      </c>
      <c r="Q64" s="167">
        <f t="shared" si="6"/>
        <v>0.95348360655737707</v>
      </c>
      <c r="R64" s="573"/>
      <c r="S64" s="49">
        <v>0.39652777777777776</v>
      </c>
      <c r="T64" s="49">
        <v>0.48124999999999996</v>
      </c>
      <c r="U64" s="165">
        <f t="shared" si="48"/>
        <v>4.9999999999999822</v>
      </c>
      <c r="V64" s="168">
        <f t="shared" si="47"/>
        <v>121.99999999999997</v>
      </c>
      <c r="W64" s="25">
        <f>T64</f>
        <v>0.48124999999999996</v>
      </c>
      <c r="X64" s="25">
        <f>S65</f>
        <v>0.52361111111111103</v>
      </c>
      <c r="Y64" s="25"/>
      <c r="Z64" s="25"/>
      <c r="AA64" s="575"/>
      <c r="AB64" s="575"/>
      <c r="AC64" s="50"/>
      <c r="AD64" s="27"/>
      <c r="AE64" s="20">
        <f t="shared" si="43"/>
        <v>-111.6393442622948</v>
      </c>
      <c r="AF64" s="167">
        <f t="shared" si="9"/>
        <v>0.95348360655737718</v>
      </c>
      <c r="AG64" s="573"/>
    </row>
    <row r="65" spans="1:33" ht="15.75" customHeight="1">
      <c r="A65" s="578" t="s">
        <v>809</v>
      </c>
      <c r="B65" s="170" t="s">
        <v>94</v>
      </c>
      <c r="C65" s="574" t="s">
        <v>125</v>
      </c>
      <c r="D65" s="574"/>
      <c r="E65" s="39">
        <v>19.02</v>
      </c>
      <c r="F65" s="170">
        <v>4403</v>
      </c>
      <c r="G65" s="165">
        <f t="shared" si="45"/>
        <v>83745.06</v>
      </c>
      <c r="H65" s="48" t="s">
        <v>126</v>
      </c>
      <c r="I65" s="166">
        <v>14</v>
      </c>
      <c r="J65" s="43">
        <v>2400</v>
      </c>
      <c r="K65" s="18">
        <f t="shared" si="1"/>
        <v>171.42857142857142</v>
      </c>
      <c r="L65" s="166">
        <v>14</v>
      </c>
      <c r="M65" s="19">
        <f t="shared" si="46"/>
        <v>2297.2173913043466</v>
      </c>
      <c r="N65" s="18">
        <f t="shared" si="3"/>
        <v>164.08695652173904</v>
      </c>
      <c r="O65" s="20">
        <f t="shared" si="4"/>
        <v>0</v>
      </c>
      <c r="P65" s="21">
        <f t="shared" si="5"/>
        <v>-7.3416149068323762</v>
      </c>
      <c r="Q65" s="167">
        <f t="shared" si="6"/>
        <v>0.95717391304347776</v>
      </c>
      <c r="R65" s="573"/>
      <c r="S65" s="49">
        <v>0.52361111111111103</v>
      </c>
      <c r="T65" s="49">
        <v>0.60347222222222219</v>
      </c>
      <c r="U65" s="165">
        <f t="shared" si="48"/>
        <v>60.999999999999943</v>
      </c>
      <c r="V65" s="168">
        <f t="shared" si="47"/>
        <v>115.00000000000007</v>
      </c>
      <c r="W65" s="25"/>
      <c r="X65" s="25"/>
      <c r="Y65" s="25"/>
      <c r="Z65" s="25"/>
      <c r="AA65" s="575"/>
      <c r="AB65" s="575"/>
      <c r="AC65" s="50"/>
      <c r="AD65" s="27"/>
      <c r="AE65" s="20">
        <f t="shared" si="43"/>
        <v>-102.78260869565338</v>
      </c>
      <c r="AF65" s="167">
        <f t="shared" si="9"/>
        <v>0.95717391304347776</v>
      </c>
      <c r="AG65" s="573"/>
    </row>
    <row r="66" spans="1:33" ht="16.5" customHeight="1">
      <c r="A66" s="579" t="s">
        <v>809</v>
      </c>
      <c r="B66" s="39" t="s">
        <v>805</v>
      </c>
      <c r="C66" s="570"/>
      <c r="D66" s="571"/>
      <c r="E66" s="172"/>
      <c r="F66" s="42"/>
      <c r="G66" s="18"/>
      <c r="H66" s="170"/>
      <c r="I66" s="32">
        <v>15.833333333333334</v>
      </c>
      <c r="J66" s="43">
        <v>2400</v>
      </c>
      <c r="K66" s="18">
        <f t="shared" si="1"/>
        <v>151.57894736842104</v>
      </c>
      <c r="L66" s="32">
        <v>15.833333333333334</v>
      </c>
      <c r="M66" s="19">
        <f>AVERAGE(M60:M65)</f>
        <v>2289.1185543435945</v>
      </c>
      <c r="N66" s="18">
        <f t="shared" si="3"/>
        <v>144.5759086953849</v>
      </c>
      <c r="O66" s="20">
        <f t="shared" si="4"/>
        <v>0</v>
      </c>
      <c r="P66" s="21">
        <f t="shared" si="5"/>
        <v>-7.0030386730361442</v>
      </c>
      <c r="Q66" s="167">
        <f t="shared" si="6"/>
        <v>0.95379939764316435</v>
      </c>
      <c r="R66" s="573"/>
      <c r="S66" s="49"/>
      <c r="T66" s="49"/>
      <c r="U66" s="18"/>
      <c r="V66" s="168"/>
      <c r="W66" s="18"/>
      <c r="X66" s="18"/>
      <c r="Y66" s="33">
        <f>SUM(Y60:Y65)</f>
        <v>0</v>
      </c>
      <c r="Z66" s="33">
        <f>SUM(Z60:Z65)</f>
        <v>0</v>
      </c>
      <c r="AA66" s="572"/>
      <c r="AB66" s="572"/>
      <c r="AC66" s="33">
        <v>6</v>
      </c>
      <c r="AD66" s="33">
        <f>SUM(AD60:AD65)</f>
        <v>0</v>
      </c>
      <c r="AE66" s="20">
        <f t="shared" si="43"/>
        <v>-110.8814456564055</v>
      </c>
      <c r="AF66" s="167">
        <f t="shared" si="9"/>
        <v>0.95379939764316435</v>
      </c>
      <c r="AG66" s="573"/>
    </row>
    <row r="67" spans="1:33">
      <c r="D67" s="35"/>
      <c r="E67" s="35"/>
    </row>
  </sheetData>
  <mergeCells count="185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A18:A24"/>
    <mergeCell ref="C18:D18"/>
    <mergeCell ref="R18:R24"/>
    <mergeCell ref="AA18:AB18"/>
    <mergeCell ref="AA23:AB23"/>
    <mergeCell ref="C24:D24"/>
    <mergeCell ref="AA24:AB24"/>
    <mergeCell ref="A13:A17"/>
    <mergeCell ref="C13:D13"/>
    <mergeCell ref="R13:R17"/>
    <mergeCell ref="AA13:AB13"/>
    <mergeCell ref="AG18:AG24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25:A31"/>
    <mergeCell ref="C25:D25"/>
    <mergeCell ref="R25:R31"/>
    <mergeCell ref="AA25:AB25"/>
    <mergeCell ref="AG25:AG31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A45:A52"/>
    <mergeCell ref="C45:D45"/>
    <mergeCell ref="R45:R52"/>
    <mergeCell ref="AA45:AB45"/>
    <mergeCell ref="AG32:AG39"/>
    <mergeCell ref="C33:D33"/>
    <mergeCell ref="AA33:AB33"/>
    <mergeCell ref="C34:D34"/>
    <mergeCell ref="AA34:AB34"/>
    <mergeCell ref="C35:D35"/>
    <mergeCell ref="A40:A44"/>
    <mergeCell ref="C40:D40"/>
    <mergeCell ref="R40:R44"/>
    <mergeCell ref="AA40:AB40"/>
    <mergeCell ref="AA35:AB35"/>
    <mergeCell ref="C36:D36"/>
    <mergeCell ref="AA36:AB36"/>
    <mergeCell ref="C37:D37"/>
    <mergeCell ref="AA37:AB37"/>
    <mergeCell ref="C38:D38"/>
    <mergeCell ref="AA38:AB38"/>
    <mergeCell ref="A32:A39"/>
    <mergeCell ref="C32:D32"/>
    <mergeCell ref="R32:R39"/>
    <mergeCell ref="AA32:AB32"/>
    <mergeCell ref="AG40:AG44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39:D39"/>
    <mergeCell ref="AA39:AB39"/>
    <mergeCell ref="A53:A59"/>
    <mergeCell ref="C53:D53"/>
    <mergeCell ref="R53:R59"/>
    <mergeCell ref="AA53:AB53"/>
    <mergeCell ref="AG53:AG59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C59:D59"/>
    <mergeCell ref="AA59:AB59"/>
    <mergeCell ref="AG45:AG52"/>
    <mergeCell ref="C46:D46"/>
    <mergeCell ref="AA46:AB46"/>
    <mergeCell ref="C47:D47"/>
    <mergeCell ref="AA47:AB47"/>
    <mergeCell ref="AA48:AB48"/>
    <mergeCell ref="AA49:AB49"/>
    <mergeCell ref="C50:D50"/>
    <mergeCell ref="AA50:AB50"/>
    <mergeCell ref="C51:D51"/>
    <mergeCell ref="AA51:AB51"/>
    <mergeCell ref="C52:D52"/>
    <mergeCell ref="AA52:AB52"/>
    <mergeCell ref="AA63:AB63"/>
    <mergeCell ref="C64:D64"/>
    <mergeCell ref="AA64:AB64"/>
    <mergeCell ref="A60:A66"/>
    <mergeCell ref="C60:D60"/>
    <mergeCell ref="R60:R66"/>
    <mergeCell ref="AA60:AB60"/>
    <mergeCell ref="AG60:AG66"/>
    <mergeCell ref="C61:D61"/>
    <mergeCell ref="AA61:AB61"/>
    <mergeCell ref="C62:D62"/>
    <mergeCell ref="AA62:AB62"/>
    <mergeCell ref="C63:D63"/>
    <mergeCell ref="C65:D65"/>
    <mergeCell ref="AA65:AB65"/>
    <mergeCell ref="C66:D66"/>
    <mergeCell ref="AA66:AB66"/>
  </mergeCells>
  <phoneticPr fontId="3" type="noConversion"/>
  <conditionalFormatting sqref="O52:O53 O56:O66 O5:O10 O12:O14 O17:O50">
    <cfRule type="cellIs" dxfId="483" priority="36" operator="greaterThan">
      <formula>0</formula>
    </cfRule>
  </conditionalFormatting>
  <conditionalFormatting sqref="P5:P8 P56:P58 AE56:AE58 P60:P65 P25:P30 P53 P10 P12:P14 P18:P23 P45:P50 P32:P43 AE5:AE53 AE60:AE66">
    <cfRule type="cellIs" dxfId="482" priority="40" operator="lessThan">
      <formula>0</formula>
    </cfRule>
  </conditionalFormatting>
  <conditionalFormatting sqref="AF56:AF58 Q52:Q53 Q56:Q66 Q5:Q10 Q12:Q14 Q17:Q50 AF5:AF53 AF60:AF66">
    <cfRule type="cellIs" dxfId="481" priority="37" operator="greaterThan">
      <formula>1</formula>
    </cfRule>
    <cfRule type="cellIs" dxfId="480" priority="38" operator="lessThan">
      <formula>0.8</formula>
    </cfRule>
  </conditionalFormatting>
  <conditionalFormatting sqref="AG13:AG14 R13:R14 AG56 AG52:AG53 R52:R53 R56:R66 AG5:AG10 R5:R10 AG17:AG50 R17:R50">
    <cfRule type="cellIs" dxfId="479" priority="42" operator="lessThan">
      <formula>0.8</formula>
    </cfRule>
  </conditionalFormatting>
  <conditionalFormatting sqref="AG40">
    <cfRule type="cellIs" dxfId="478" priority="44" operator="lessThan">
      <formula>0.8</formula>
    </cfRule>
  </conditionalFormatting>
  <conditionalFormatting sqref="AG18:AG23">
    <cfRule type="cellIs" dxfId="477" priority="41" operator="lessThan">
      <formula>0.8</formula>
    </cfRule>
  </conditionalFormatting>
  <conditionalFormatting sqref="AG25">
    <cfRule type="cellIs" dxfId="476" priority="43" operator="lessThan">
      <formula>0.8</formula>
    </cfRule>
  </conditionalFormatting>
  <conditionalFormatting sqref="AG32:AG38">
    <cfRule type="cellIs" dxfId="475" priority="39" operator="lessThan">
      <formula>0.8</formula>
    </cfRule>
  </conditionalFormatting>
  <conditionalFormatting sqref="AE59">
    <cfRule type="cellIs" dxfId="474" priority="35" operator="lessThan">
      <formula>0</formula>
    </cfRule>
  </conditionalFormatting>
  <conditionalFormatting sqref="AF59">
    <cfRule type="cellIs" dxfId="473" priority="33" operator="greaterThan">
      <formula>1</formula>
    </cfRule>
    <cfRule type="cellIs" dxfId="472" priority="34" operator="lessThan">
      <formula>0.8</formula>
    </cfRule>
  </conditionalFormatting>
  <conditionalFormatting sqref="O15:O16">
    <cfRule type="cellIs" dxfId="471" priority="28" operator="greaterThan">
      <formula>0</formula>
    </cfRule>
  </conditionalFormatting>
  <conditionalFormatting sqref="P15:P16">
    <cfRule type="cellIs" dxfId="470" priority="31" operator="lessThan">
      <formula>0</formula>
    </cfRule>
  </conditionalFormatting>
  <conditionalFormatting sqref="Q15:Q16">
    <cfRule type="cellIs" dxfId="469" priority="29" operator="greaterThan">
      <formula>1</formula>
    </cfRule>
    <cfRule type="cellIs" dxfId="468" priority="30" operator="lessThan">
      <formula>0.8</formula>
    </cfRule>
  </conditionalFormatting>
  <conditionalFormatting sqref="R15:R16 AG15:AG16">
    <cfRule type="cellIs" dxfId="467" priority="32" operator="lessThan">
      <formula>0.8</formula>
    </cfRule>
  </conditionalFormatting>
  <conditionalFormatting sqref="O11">
    <cfRule type="cellIs" dxfId="466" priority="24" operator="greaterThan">
      <formula>0</formula>
    </cfRule>
  </conditionalFormatting>
  <conditionalFormatting sqref="P11">
    <cfRule type="cellIs" dxfId="465" priority="27" operator="lessThan">
      <formula>0</formula>
    </cfRule>
  </conditionalFormatting>
  <conditionalFormatting sqref="Q11">
    <cfRule type="cellIs" dxfId="464" priority="25" operator="greaterThan">
      <formula>1</formula>
    </cfRule>
    <cfRule type="cellIs" dxfId="463" priority="26" operator="lessThan">
      <formula>0.8</formula>
    </cfRule>
  </conditionalFormatting>
  <conditionalFormatting sqref="O51">
    <cfRule type="cellIs" dxfId="462" priority="19" operator="greaterThan">
      <formula>0</formula>
    </cfRule>
  </conditionalFormatting>
  <conditionalFormatting sqref="P51">
    <cfRule type="cellIs" dxfId="461" priority="22" operator="lessThan">
      <formula>0</formula>
    </cfRule>
  </conditionalFormatting>
  <conditionalFormatting sqref="Q51">
    <cfRule type="cellIs" dxfId="460" priority="20" operator="greaterThan">
      <formula>1</formula>
    </cfRule>
    <cfRule type="cellIs" dxfId="459" priority="21" operator="lessThan">
      <formula>0.8</formula>
    </cfRule>
  </conditionalFormatting>
  <conditionalFormatting sqref="R51 AG51">
    <cfRule type="cellIs" dxfId="458" priority="23" operator="lessThan">
      <formula>0.8</formula>
    </cfRule>
  </conditionalFormatting>
  <conditionalFormatting sqref="O55">
    <cfRule type="cellIs" dxfId="457" priority="14" operator="greaterThan">
      <formula>0</formula>
    </cfRule>
  </conditionalFormatting>
  <conditionalFormatting sqref="P55 AE55">
    <cfRule type="cellIs" dxfId="456" priority="17" operator="lessThan">
      <formula>0</formula>
    </cfRule>
  </conditionalFormatting>
  <conditionalFormatting sqref="Q55 AF55">
    <cfRule type="cellIs" dxfId="455" priority="15" operator="greaterThan">
      <formula>1</formula>
    </cfRule>
    <cfRule type="cellIs" dxfId="454" priority="16" operator="lessThan">
      <formula>0.8</formula>
    </cfRule>
  </conditionalFormatting>
  <conditionalFormatting sqref="R55 AG55">
    <cfRule type="cellIs" dxfId="453" priority="18" operator="lessThan">
      <formula>0.8</formula>
    </cfRule>
  </conditionalFormatting>
  <conditionalFormatting sqref="O54">
    <cfRule type="cellIs" dxfId="452" priority="9" operator="greaterThan">
      <formula>0</formula>
    </cfRule>
  </conditionalFormatting>
  <conditionalFormatting sqref="P54 AE54">
    <cfRule type="cellIs" dxfId="451" priority="12" operator="lessThan">
      <formula>0</formula>
    </cfRule>
  </conditionalFormatting>
  <conditionalFormatting sqref="Q54 AF54">
    <cfRule type="cellIs" dxfId="450" priority="10" operator="greaterThan">
      <formula>1</formula>
    </cfRule>
    <cfRule type="cellIs" dxfId="449" priority="11" operator="lessThan">
      <formula>0.8</formula>
    </cfRule>
  </conditionalFormatting>
  <conditionalFormatting sqref="R54 AG54">
    <cfRule type="cellIs" dxfId="448" priority="13" operator="lessThan">
      <formula>0.8</formula>
    </cfRule>
  </conditionalFormatting>
  <conditionalFormatting sqref="P9">
    <cfRule type="cellIs" dxfId="447" priority="8" operator="lessThan">
      <formula>0</formula>
    </cfRule>
  </conditionalFormatting>
  <conditionalFormatting sqref="P17">
    <cfRule type="cellIs" dxfId="446" priority="7" operator="lessThan">
      <formula>0</formula>
    </cfRule>
  </conditionalFormatting>
  <conditionalFormatting sqref="P24">
    <cfRule type="cellIs" dxfId="445" priority="6" operator="lessThan">
      <formula>0</formula>
    </cfRule>
  </conditionalFormatting>
  <conditionalFormatting sqref="P31">
    <cfRule type="cellIs" dxfId="444" priority="5" operator="lessThan">
      <formula>0</formula>
    </cfRule>
  </conditionalFormatting>
  <conditionalFormatting sqref="P44">
    <cfRule type="cellIs" dxfId="443" priority="4" operator="lessThan">
      <formula>0</formula>
    </cfRule>
  </conditionalFormatting>
  <conditionalFormatting sqref="P52">
    <cfRule type="cellIs" dxfId="442" priority="3" operator="lessThan">
      <formula>0</formula>
    </cfRule>
  </conditionalFormatting>
  <conditionalFormatting sqref="P59">
    <cfRule type="cellIs" dxfId="441" priority="2" operator="lessThan">
      <formula>0</formula>
    </cfRule>
  </conditionalFormatting>
  <conditionalFormatting sqref="P66">
    <cfRule type="cellIs" dxfId="440" priority="1" operator="lessThan">
      <formula>0</formula>
    </cfRule>
  </conditionalFormatting>
  <dataValidations count="1">
    <dataValidation type="list" allowBlank="1" showInputMessage="1" showErrorMessage="1" sqref="AB9 AA5:AB8 AB57:AB58 AA9:AA58 AB11:AB53 AA59:AB6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8" sqref="E8:F8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627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628</v>
      </c>
      <c r="C3" s="555" t="str">
        <f>TEXT('0507 4度C'!A2,"yyyy.mm.ddaaaa")</f>
        <v>2026.05.07星期四</v>
      </c>
      <c r="D3" s="556"/>
      <c r="E3" s="54" t="s">
        <v>294</v>
      </c>
      <c r="F3" s="557">
        <f>'0507 4度C'!D1</f>
        <v>165814</v>
      </c>
      <c r="G3" s="558"/>
      <c r="H3" s="54" t="s">
        <v>629</v>
      </c>
      <c r="I3" s="559">
        <f>'0507 4度C'!F1</f>
        <v>5584084.3199999994</v>
      </c>
      <c r="J3" s="560"/>
      <c r="K3" s="55"/>
      <c r="L3" s="56"/>
      <c r="M3" s="57"/>
      <c r="N3" s="57"/>
    </row>
    <row r="4" spans="2:17" ht="28.5" customHeight="1">
      <c r="B4" s="561" t="s">
        <v>195</v>
      </c>
      <c r="C4" s="547" t="s">
        <v>630</v>
      </c>
      <c r="D4" s="548"/>
      <c r="E4" s="564" t="s">
        <v>631</v>
      </c>
      <c r="F4" s="565"/>
      <c r="G4" s="564" t="s">
        <v>632</v>
      </c>
      <c r="H4" s="565"/>
      <c r="I4" s="564" t="s">
        <v>633</v>
      </c>
      <c r="J4" s="565"/>
      <c r="K4" s="545" t="s">
        <v>634</v>
      </c>
      <c r="L4" s="546"/>
      <c r="M4" s="546" t="s">
        <v>635</v>
      </c>
      <c r="N4" s="546"/>
    </row>
    <row r="5" spans="2:17" ht="28.5" customHeight="1">
      <c r="B5" s="562"/>
      <c r="C5" s="547" t="s">
        <v>636</v>
      </c>
      <c r="D5" s="548"/>
      <c r="E5" s="547" t="s">
        <v>637</v>
      </c>
      <c r="F5" s="548"/>
      <c r="G5" s="549" t="s">
        <v>638</v>
      </c>
      <c r="H5" s="550"/>
      <c r="I5" s="551" t="s">
        <v>639</v>
      </c>
      <c r="J5" s="552"/>
      <c r="K5" s="58" t="s">
        <v>640</v>
      </c>
      <c r="L5" s="59" t="s">
        <v>641</v>
      </c>
      <c r="M5" s="58" t="s">
        <v>640</v>
      </c>
      <c r="N5" s="59" t="s">
        <v>642</v>
      </c>
    </row>
    <row r="6" spans="2:17" ht="28.5" customHeight="1">
      <c r="B6" s="562"/>
      <c r="C6" s="547" t="s">
        <v>145</v>
      </c>
      <c r="D6" s="548"/>
      <c r="E6" s="539">
        <f>AVERAGE(D13:M13)</f>
        <v>151.34713024409626</v>
      </c>
      <c r="F6" s="540">
        <f>AVERAGE(D31:O31,D13:J13)</f>
        <v>157.12428415711267</v>
      </c>
      <c r="G6" s="541">
        <f>AVERAGE(D13:J13)</f>
        <v>157.12428415711267</v>
      </c>
      <c r="H6" s="542"/>
      <c r="I6" s="541">
        <f>AVERAGE(K13:M13)</f>
        <v>137.86710444705798</v>
      </c>
      <c r="J6" s="542"/>
      <c r="K6" s="543">
        <f>'0507 4度C'!Y2</f>
        <v>0</v>
      </c>
      <c r="L6" s="528">
        <f>'0507 4度C'!Z2</f>
        <v>0</v>
      </c>
      <c r="M6" s="544">
        <f>'0507 4度C'!AC2</f>
        <v>55</v>
      </c>
      <c r="N6" s="528">
        <f>'0507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145.22987897705349</v>
      </c>
      <c r="F7" s="532">
        <f>AVERAGE(D32:O32,D14:J14)</f>
        <v>150.95629401826523</v>
      </c>
      <c r="G7" s="533">
        <f>AVERAGE(D14:J14)</f>
        <v>150.95629401826523</v>
      </c>
      <c r="H7" s="534"/>
      <c r="I7" s="533">
        <f>AVERAGE(K14:M14)</f>
        <v>131.86824388089278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0.9589372053918519</v>
      </c>
      <c r="F8" s="536">
        <f>AVERAGE(D15:J15,D33:O33)</f>
        <v>0.95999836047518461</v>
      </c>
      <c r="G8" s="537">
        <f>AVERAGE(D15:J15)</f>
        <v>0.95999836047518461</v>
      </c>
      <c r="H8" s="538"/>
      <c r="I8" s="537">
        <f>AVERAGE(K15:M15)</f>
        <v>0.95646117686407595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643</v>
      </c>
      <c r="N9" s="57"/>
      <c r="O9" s="57"/>
      <c r="P9" s="57"/>
      <c r="Q9" s="57"/>
    </row>
    <row r="10" spans="2:17" ht="30" customHeight="1">
      <c r="B10" s="511" t="s">
        <v>644</v>
      </c>
      <c r="C10" s="512"/>
      <c r="D10" s="513" t="s">
        <v>645</v>
      </c>
      <c r="E10" s="514"/>
      <c r="F10" s="514"/>
      <c r="G10" s="514"/>
      <c r="H10" s="514"/>
      <c r="I10" s="514"/>
      <c r="J10" s="515"/>
      <c r="K10" s="516" t="s">
        <v>646</v>
      </c>
      <c r="L10" s="517"/>
      <c r="M10" s="518"/>
      <c r="P10" s="63"/>
      <c r="Q10" s="63"/>
    </row>
    <row r="11" spans="2:17" ht="17.25" customHeight="1">
      <c r="B11" s="519" t="s">
        <v>647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648</v>
      </c>
      <c r="C13" s="70" t="s">
        <v>649</v>
      </c>
      <c r="D13" s="71">
        <f>SUMIFS('0507 4度C'!$K:$K,'0507 4度C'!$A:$A,"新豐6線",'0507 4度C'!$B:$B,"平均")</f>
        <v>119.40298507462687</v>
      </c>
      <c r="E13" s="72">
        <f>SUMIFS('0507 4度C'!$K:$K,'0507 4度C'!$A:$A,"新豐2線",'0507 4度C'!$B:$B,"平均")</f>
        <v>83.333333333333329</v>
      </c>
      <c r="F13" s="73">
        <f>SUMIFS('0507 4度C'!$K:$K,'0507 4度C'!$A:$A,"新豐5線",'0507 4度C'!$B:$B,"平均")</f>
        <v>100</v>
      </c>
      <c r="G13" s="73">
        <f>SUMIFS('0507 4度C'!$K:$K,'0507 4度C'!$A:$A,"新豐7線",'0507 4度C'!$B:$B,"平均")</f>
        <v>121.05263157894737</v>
      </c>
      <c r="H13" s="73">
        <f>SUMIFS('0507 4度C'!$K:$K,'0507 4度C'!$A:$A,"新豐3線",'0507 4度C'!$B:$B,"平均")</f>
        <v>255.81395348837211</v>
      </c>
      <c r="I13" s="73">
        <f>SUMIFS('0507 4度C'!$K:$K,'0507 4度C'!$A:$A,"新豐1線",'0507 4度C'!$B:$B,"平均")</f>
        <v>104.47761194029852</v>
      </c>
      <c r="J13" s="74">
        <f>SUMIFS('0507 4度C'!$K:$K,'0507 4度C'!$A:$A,"新豐10線",'0507 4度C'!$B:$B,"平均")</f>
        <v>315.78947368421052</v>
      </c>
      <c r="K13" s="75">
        <f>SUMIFS('0507 4度C'!$K:$K,'0507 4度C'!$A:$A,"新豐8線",'0507 4度C'!$B:$B,"平均")</f>
        <v>138.84297520661158</v>
      </c>
      <c r="L13" s="76">
        <f>SUMIFS('0507 4度C'!$K:$K,'0507 4度C'!$A:$A,"新豐9線",'0507 4度C'!$B:$B,"平均")</f>
        <v>123.57723577235772</v>
      </c>
      <c r="M13" s="74">
        <f>SUMIFS('0507 4度C'!$K:$K,'0507 4度C'!$A:$A,"新豐4線",'0507 4度C'!$B:$B,"平均")</f>
        <v>151.18110236220471</v>
      </c>
    </row>
    <row r="14" spans="2:17" ht="39.6" customHeight="1">
      <c r="B14" s="524"/>
      <c r="C14" s="77" t="s">
        <v>165</v>
      </c>
      <c r="D14" s="78">
        <f>SUMIFS('0507 4度C'!$N:$N,'0507 4度C'!$A:$A,"新豐6線",'0507 4度C'!$B:$B,"平均")</f>
        <v>115.07535630120069</v>
      </c>
      <c r="E14" s="79">
        <f>SUMIFS('0507 4度C'!$N:$N,'0507 4度C'!$A:$A,"新豐2線",'0507 4度C'!$B:$B,"平均")</f>
        <v>79.635172164751353</v>
      </c>
      <c r="F14" s="79">
        <f>SUMIFS('0507 4度C'!$N:$N,'0507 4度C'!$A:$A,"新豐5線",'0507 4度C'!$B:$B,"平均")</f>
        <v>95.963741759622437</v>
      </c>
      <c r="G14" s="79">
        <f>SUMIFS('0507 4度C'!$N:$N,'0507 4度C'!$A:$A,"新豐7線",'0507 4度C'!$B:$B,"平均")</f>
        <v>116.35013400917893</v>
      </c>
      <c r="H14" s="79">
        <f>SUMIFS('0507 4度C'!$N:$N,'0507 4度C'!$A:$A,"新豐3線",'0507 4度C'!$B:$B,"平均")</f>
        <v>244.02753626603209</v>
      </c>
      <c r="I14" s="79">
        <f>SUMIFS('0507 4度C'!$N:$N,'0507 4度C'!$A:$A,"新豐1線",'0507 4度C'!$B:$B,"平均")</f>
        <v>100.13806340515706</v>
      </c>
      <c r="J14" s="80">
        <f>SUMIFS('0507 4度C'!$N:$N,'0507 4度C'!$A:$A,"新豐10線",'0507 4度C'!$B:$B,"平均")</f>
        <v>305.50405422191392</v>
      </c>
      <c r="K14" s="81">
        <f>SUMIFS('0507 4度C'!$N:$N,'0507 4度C'!$A:$A,"新豐8線",'0507 4度C'!$B:$B,"平均")</f>
        <v>132.72722372326336</v>
      </c>
      <c r="L14" s="82">
        <f>SUMIFS('0507 4度C'!$N:$N,'0507 4度C'!$A:$A,"新豐9線",'0507 4度C'!$B:$B,"平均")</f>
        <v>118.17511230723977</v>
      </c>
      <c r="M14" s="80">
        <f>SUMIFS('0507 4度C'!$N:$N,'0507 4度C'!$A:$A,"新豐4線",'0507 4度C'!$B:$B,"平均")</f>
        <v>144.70239561217517</v>
      </c>
    </row>
    <row r="15" spans="2:17" ht="40.15" customHeight="1">
      <c r="B15" s="525"/>
      <c r="C15" s="83" t="s">
        <v>650</v>
      </c>
      <c r="D15" s="84">
        <f t="shared" ref="D15:M15" si="0">D14/D13</f>
        <v>0.96375610902255571</v>
      </c>
      <c r="E15" s="85">
        <f t="shared" si="0"/>
        <v>0.95562206597701627</v>
      </c>
      <c r="F15" s="85">
        <f t="shared" si="0"/>
        <v>0.95963741759622434</v>
      </c>
      <c r="G15" s="85">
        <f t="shared" si="0"/>
        <v>0.9611532809453911</v>
      </c>
      <c r="H15" s="85">
        <f t="shared" si="0"/>
        <v>0.95392582358539812</v>
      </c>
      <c r="I15" s="85">
        <f t="shared" si="0"/>
        <v>0.95846432116364599</v>
      </c>
      <c r="J15" s="86">
        <f t="shared" si="0"/>
        <v>0.96742950503606073</v>
      </c>
      <c r="K15" s="84">
        <f t="shared" si="0"/>
        <v>0.95595202800683721</v>
      </c>
      <c r="L15" s="85">
        <f t="shared" si="0"/>
        <v>0.95628544827569029</v>
      </c>
      <c r="M15" s="86">
        <f t="shared" si="0"/>
        <v>0.95714605430970046</v>
      </c>
    </row>
    <row r="16" spans="2:17" ht="17.25" customHeight="1">
      <c r="B16" s="526" t="s">
        <v>651</v>
      </c>
      <c r="C16" s="87" t="s">
        <v>652</v>
      </c>
      <c r="D16" s="88">
        <f>VLOOKUP("新豐6線",'0507 4度C'!$A:$T,19,0)</f>
        <v>0.70833333333333337</v>
      </c>
      <c r="E16" s="89">
        <f>VLOOKUP("新豐2線",'0507 4度C'!$A:$T,19,0)</f>
        <v>0.20833333333333334</v>
      </c>
      <c r="F16" s="89">
        <f>VLOOKUP("新豐5線",'0507 4度C'!$A:$T,19,0)</f>
        <v>0.20833333333333334</v>
      </c>
      <c r="G16" s="89">
        <f>VLOOKUP("新豐7線",'0507 4度C'!$A:$T,19,0)</f>
        <v>0.20833333333333334</v>
      </c>
      <c r="H16" s="89">
        <f>VLOOKUP("新豐3線",'0507 4度C'!$A:$T,19,0)</f>
        <v>8.3333333333333329E-2</v>
      </c>
      <c r="I16" s="89">
        <f>VLOOKUP("新豐1線",'0507 4度C'!$A:$T,19,0)</f>
        <v>0.20833333333333334</v>
      </c>
      <c r="J16" s="90">
        <f>VLOOKUP("新豐10線",'0507 4度C'!$A:$T,19,0)</f>
        <v>0.20833333333333334</v>
      </c>
      <c r="K16" s="91">
        <f>VLOOKUP("新豐8線",'0507 4度C'!$A:$T,19,0)</f>
        <v>8.3333333333333329E-2</v>
      </c>
      <c r="L16" s="92">
        <f>VLOOKUP("新豐9線",'0507 4度C'!$A:$T,19,0)</f>
        <v>8.3333333333333329E-2</v>
      </c>
      <c r="M16" s="93">
        <f>VLOOKUP("新豐4線",'0507 4度C'!$A:$T,19,0)</f>
        <v>8.3333333333333329E-2</v>
      </c>
    </row>
    <row r="17" spans="2:13" ht="17.25" customHeight="1">
      <c r="B17" s="527"/>
      <c r="C17" s="87" t="s">
        <v>653</v>
      </c>
      <c r="D17" s="91">
        <f>LOOKUP(2,1/(('0507 4度C'!$A:$A="新豐6線")*('0507 4度C'!$T:$T&lt;&gt;"")),'0507 4度C'!$T:$T)</f>
        <v>0.82638888888888895</v>
      </c>
      <c r="E17" s="89">
        <f>LOOKUP(2,1/(('0507 4度C'!$A:$A="新豐2線")*('0507 4度C'!$T:$T&lt;&gt;"")),'0507 4度C'!$T:$T)</f>
        <v>0.51875000000000004</v>
      </c>
      <c r="F17" s="89">
        <f>LOOKUP(2,1/(('0507 4度C'!$A:$A="新豐5線")*('0507 4度C'!$T:$T&lt;&gt;"")),'0507 4度C'!$T:$T)</f>
        <v>0.81666666666666665</v>
      </c>
      <c r="G17" s="89">
        <f>LOOKUP(2,1/(('0507 4度C'!$A:$A="新豐7線")*('0507 4度C'!$T:$T&lt;&gt;"")),'0507 4度C'!$T:$T)</f>
        <v>0.79027777777777775</v>
      </c>
      <c r="H17" s="89">
        <f>LOOKUP(2,1/(('0507 4度C'!$A:$A="新豐3線")*('0507 4度C'!$T:$T&lt;&gt;"")),'0507 4度C'!$T:$T)</f>
        <v>0.42569444444444443</v>
      </c>
      <c r="I17" s="89">
        <f>LOOKUP(2,1/(('0507 4度C'!$A:$A="新豐1線")*('0507 4度C'!$T:$T&lt;&gt;"")),'0507 4度C'!$T:$T)</f>
        <v>0.79444444444444451</v>
      </c>
      <c r="J17" s="90">
        <f>LOOKUP(2,1/(('0507 4度C'!$A:$A="新豐10線")*('0507 4度C'!$T:$T&lt;&gt;"")),'0507 4度C'!$T:$T)</f>
        <v>0.41736111111111107</v>
      </c>
      <c r="K17" s="88">
        <f>LOOKUP(2,1/(('0507 4度C'!$A:$A="新豐8線")*('0507 4度C'!$T:$T&lt;&gt;"")),'0507 4度C'!$T:$T)</f>
        <v>0.70486111111111094</v>
      </c>
      <c r="L17" s="89">
        <f>LOOKUP(2,1/(('0507 4度C'!$A:$A="新豐9線")*('0507 4度C'!$T:$T&lt;&gt;"")),'0507 4度C'!$T:$T)</f>
        <v>0.69305555555555554</v>
      </c>
      <c r="M17" s="90">
        <f>LOOKUP(2,1/(('0507 4度C'!$A:$A="新豐4線")*('0507 4度C'!$T:$T&lt;&gt;"")),'0507 4度C'!$T:$T)</f>
        <v>0.7152777777777779</v>
      </c>
    </row>
    <row r="18" spans="2:13" ht="17.25" customHeight="1">
      <c r="B18" s="505" t="s">
        <v>654</v>
      </c>
      <c r="C18" s="94" t="s">
        <v>655</v>
      </c>
      <c r="D18" s="95">
        <f>SUMIFS('0507 4度C'!$Y:$Y,'0507 4度C'!$A:$A,"新豐6線",'0507 4度C'!$B:$B,"平均")</f>
        <v>0</v>
      </c>
      <c r="E18" s="96">
        <f>SUMIFS('0507 4度C'!$Y:$Y,'0507 4度C'!$A:$A,"新豐2線",'0507 4度C'!$B:$B,"平均")</f>
        <v>0</v>
      </c>
      <c r="F18" s="96">
        <f>SUMIFS('0507 4度C'!$Y:$Y,'0507 4度C'!$A:$A,"新豐5線",'0507 4度C'!$B:$B,"平均")</f>
        <v>0</v>
      </c>
      <c r="G18" s="96">
        <f>SUMIFS('0507 4度C'!$Y:$Y,'0507 4度C'!$A:$A,"新豐7線",'0507 4度C'!$B:$B,"平均")</f>
        <v>0</v>
      </c>
      <c r="H18" s="96">
        <f>SUMIFS('0507 4度C'!$Y:$Y,'0507 4度C'!$A:$A,"新豐3線",'0507 4度C'!$B:$B,"平均")</f>
        <v>0</v>
      </c>
      <c r="I18" s="96">
        <f>SUMIFS('0507 4度C'!$Y:$Y,'0507 4度C'!$A:$A,"新豐1線",'0507 4度C'!$B:$B,"平均")</f>
        <v>0</v>
      </c>
      <c r="J18" s="97">
        <f>SUMIFS('0507 4度C'!$Y:$Y,'0507 4度C'!$A:$A,"新豐10線",'0507 4度C'!$B:$B,"平均")</f>
        <v>0</v>
      </c>
      <c r="K18" s="98">
        <f>SUMIFS('0507 4度C'!$Y:$Y,'0507 4度C'!$A:$A,"新豐8線",'0507 4度C'!$B:$B,"平均")</f>
        <v>0</v>
      </c>
      <c r="L18" s="96">
        <f>SUMIFS('0507 4度C'!$Y:$Y,'0507 4度C'!$A:$A,"新豐9線",'0507 4度C'!$B:$B,"平均")</f>
        <v>0</v>
      </c>
      <c r="M18" s="97">
        <f>SUMIFS('0507 4度C'!$Y:$Y,'0507 4度C'!$A:$A,"新豐4線",'0507 4度C'!$B:$B,"平均")</f>
        <v>0</v>
      </c>
    </row>
    <row r="19" spans="2:13" ht="17.25" customHeight="1">
      <c r="B19" s="506"/>
      <c r="C19" s="94" t="s">
        <v>656</v>
      </c>
      <c r="D19" s="95">
        <f>SUMIFS('0507 4度C'!$Z:$Z,'0507 4度C'!$A:$A,"新豐6線",'0507 4度C'!$B:$B,"平均")</f>
        <v>0</v>
      </c>
      <c r="E19" s="96">
        <f>SUMIFS('0507 4度C'!$Z:$Z,'0507 4度C'!$A:$A,"新豐2線",'0507 4度C'!$B:$B,"平均")</f>
        <v>0</v>
      </c>
      <c r="F19" s="96">
        <f>SUMIFS('0507 4度C'!$Z:$Z,'0507 4度C'!$A:$A,"新豐5線",'0507 4度C'!$B:$B,"平均")</f>
        <v>0</v>
      </c>
      <c r="G19" s="96">
        <f>SUMIFS('0507 4度C'!$Z:$Z,'0507 4度C'!$A:$A,"新豐7線",'0507 4度C'!$B:$B,"平均")</f>
        <v>0</v>
      </c>
      <c r="H19" s="96">
        <f>SUMIFS('0507 4度C'!$Z:$Z,'0507 4度C'!$A:$A,"新豐3線",'0507 4度C'!$B:$B,"平均")</f>
        <v>0</v>
      </c>
      <c r="I19" s="96">
        <f>SUMIFS('0507 4度C'!$Z:$Z,'0507 4度C'!$A:$A,"新豐1線",'0507 4度C'!$B:$B,"平均")</f>
        <v>0</v>
      </c>
      <c r="J19" s="97">
        <f>SUMIFS('0507 4度C'!$Z:$Z,'0507 4度C'!$A:$A,"新豐10線",'0507 4度C'!$B:$B,"平均")</f>
        <v>0</v>
      </c>
      <c r="K19" s="98">
        <f>SUMIFS('0507 4度C'!$Z:$Z,'0507 4度C'!$A:$A,"新豐8線",'0507 4度C'!$B:$B,"平均")</f>
        <v>0</v>
      </c>
      <c r="L19" s="96">
        <f>SUMIFS('0507 4度C'!$Z:$Z,'0507 4度C'!$A:$A,"新豐9線",'0507 4度C'!$B:$B,"平均")</f>
        <v>0</v>
      </c>
      <c r="M19" s="97">
        <f>SUMIFS('0507 4度C'!$Z:$Z,'0507 4度C'!$A:$A,"新豐4線",'0507 4度C'!$B:$B,"平均")</f>
        <v>0</v>
      </c>
    </row>
    <row r="20" spans="2:13" ht="17.25" customHeight="1">
      <c r="B20" s="505" t="s">
        <v>657</v>
      </c>
      <c r="C20" s="94" t="s">
        <v>655</v>
      </c>
      <c r="D20" s="95">
        <f>SUMIFS('0507 4度C'!$AC:$AC,'0507 4度C'!$A:$A,"新豐6線",'0507 4度C'!$B:$B,"平均")</f>
        <v>4</v>
      </c>
      <c r="E20" s="96">
        <f>SUMIFS('0507 4度C'!$AC:$AC,'0507 4度C'!$A:$A,"新豐2線",'0507 4度C'!$B:$B,"平均")</f>
        <v>2</v>
      </c>
      <c r="F20" s="96">
        <f>SUMIFS('0507 4度C'!$AC:$AC,'0507 4度C'!$A:$A,"新豐5線",'0507 4度C'!$B:$B,"平均")</f>
        <v>4</v>
      </c>
      <c r="G20" s="96">
        <f>SUMIFS('0507 4度C'!$AC:$AC,'0507 4度C'!$A:$A,"新豐7線",'0507 4度C'!$B:$B,"平均")</f>
        <v>6</v>
      </c>
      <c r="H20" s="96">
        <f>SUMIFS('0507 4度C'!$AC:$AC,'0507 4度C'!$A:$A,"新豐3線",'0507 4度C'!$B:$B,"平均")</f>
        <v>4</v>
      </c>
      <c r="I20" s="96">
        <f>SUMIFS('0507 4度C'!$AC:$AC,'0507 4度C'!$A:$A,"新豐1線",'0507 4度C'!$B:$B,"平均")</f>
        <v>7</v>
      </c>
      <c r="J20" s="97">
        <f>SUMIFS('0507 4度C'!$AC:$AC,'0507 4度C'!$A:$A,"新豐10線",'0507 4度C'!$B:$B,"平均")</f>
        <v>6</v>
      </c>
      <c r="K20" s="98">
        <f>SUMIFS('0507 4度C'!$AC:$AC,'0507 4度C'!$A:$A,"新豐8線",'0507 4度C'!$B:$B,"平均")</f>
        <v>7</v>
      </c>
      <c r="L20" s="96">
        <f>SUMIFS('0507 4度C'!$AC:$AC,'0507 4度C'!$A:$A,"新豐9線",'0507 4度C'!$B:$B,"平均")</f>
        <v>7</v>
      </c>
      <c r="M20" s="97">
        <f>SUMIFS('0507 4度C'!$AC:$AC,'0507 4度C'!$A:$A,"新豐4線",'0507 4度C'!$B:$B,"平均")</f>
        <v>8</v>
      </c>
    </row>
    <row r="21" spans="2:13" ht="17.25" customHeight="1">
      <c r="B21" s="506"/>
      <c r="C21" s="94" t="s">
        <v>658</v>
      </c>
      <c r="D21" s="95">
        <f>SUMIFS('0507 4度C'!$AD:$AD,'0507 4度C'!$A:$A,"新豐6線",'0507 4度C'!$B:$B,"平均")</f>
        <v>0</v>
      </c>
      <c r="E21" s="96">
        <f>SUMIFS('0507 4度C'!$AD:$AD,'0507 4度C'!$A:$A,"新豐2線",'0507 4度C'!$B:$B,"平均")</f>
        <v>0</v>
      </c>
      <c r="F21" s="96">
        <f>SUMIFS('0507 4度C'!$AD:$AD,'0507 4度C'!$A:$A,"新豐5線",'0507 4度C'!$B:$B,"平均")</f>
        <v>0</v>
      </c>
      <c r="G21" s="96">
        <f>SUMIFS('0507 4度C'!$AD:$AD,'0507 4度C'!$A:$A,"新豐7線",'0507 4度C'!$B:$B,"平均")</f>
        <v>0</v>
      </c>
      <c r="H21" s="96">
        <f>SUMIFS('0507 4度C'!$AD:$AD,'0507 4度C'!$A:$A,"新豐3線",'0507 4度C'!$B:$B,"平均")</f>
        <v>0</v>
      </c>
      <c r="I21" s="96">
        <f>SUMIFS('0507 4度C'!$AD:$AD,'0507 4度C'!$A:$A,"新豐1線",'0507 4度C'!$B:$B,"平均")</f>
        <v>0</v>
      </c>
      <c r="J21" s="97">
        <f>SUMIFS('0507 4度C'!$AD:$AD,'0507 4度C'!$A:$A,"新豐10線",'0507 4度C'!$B:$B,"平均")</f>
        <v>0</v>
      </c>
      <c r="K21" s="98">
        <f>SUMIFS('0507 4度C'!$AD:$AD,'0507 4度C'!$A:$A,"新豐8線",'0507 4度C'!$B:$B,"平均")</f>
        <v>0</v>
      </c>
      <c r="L21" s="96">
        <f>SUMIFS('0507 4度C'!$AD:$AD,'0507 4度C'!$A:$A,"新豐9線",'0507 4度C'!$B:$B,"平均")</f>
        <v>0</v>
      </c>
      <c r="M21" s="97">
        <f>SUMIFS('0507 4度C'!$AD:$AD,'0507 4度C'!$A:$A,"新豐4線",'0507 4度C'!$B:$B,"平均")</f>
        <v>0</v>
      </c>
    </row>
    <row r="22" spans="2:13" ht="17.25" customHeight="1">
      <c r="B22" s="507" t="s">
        <v>659</v>
      </c>
      <c r="C22" s="508"/>
      <c r="D22" s="99">
        <f>SUMIFS('0507 4度C'!$I:$I,'0507 4度C'!$A:$A,"新豐6線",'0507 4度C'!$B:$B,"平均")</f>
        <v>16.75</v>
      </c>
      <c r="E22" s="100">
        <f>SUMIFS('0507 4度C'!$I:$I,'0507 4度C'!$A:$A,"新豐2線",'0507 4度C'!$B:$B,"平均")</f>
        <v>18</v>
      </c>
      <c r="F22" s="100">
        <f>SUMIFS('0507 4度C'!$I:$I,'0507 4度C'!$A:$A,"新豐5線",'0507 4度C'!$B:$B,"平均")</f>
        <v>17.5</v>
      </c>
      <c r="G22" s="100">
        <f>SUMIFS('0507 4度C'!$I:$I,'0507 4度C'!$A:$A,"新豐7線",'0507 4度C'!$B:$B,"平均")</f>
        <v>15.833333333333334</v>
      </c>
      <c r="H22" s="100">
        <f>SUMIFS('0507 4度C'!$I:$I,'0507 4度C'!$A:$A,"新豐3線",'0507 4度C'!$B:$B,"平均")</f>
        <v>10.75</v>
      </c>
      <c r="I22" s="100">
        <f>SUMIFS('0507 4度C'!$I:$I,'0507 4度C'!$A:$A,"新豐1線",'0507 4度C'!$B:$B,"平均")</f>
        <v>19.142857142857142</v>
      </c>
      <c r="J22" s="101">
        <f>SUMIFS('0507 4度C'!$I:$I,'0507 4度C'!$A:$A,"新豐10線",'0507 4度C'!$B:$B,"平均")</f>
        <v>9.5</v>
      </c>
      <c r="K22" s="99">
        <f>SUMIFS('0507 4度C'!$I:$I,'0507 4度C'!$A:$A,"新豐8線",'0507 4度C'!$B:$B,"平均")</f>
        <v>17.285714285714285</v>
      </c>
      <c r="L22" s="100">
        <f>SUMIFS('0507 4度C'!$I:$I,'0507 4度C'!$A:$A,"新豐9線",'0507 4度C'!$B:$B,"平均")</f>
        <v>17.571428571428573</v>
      </c>
      <c r="M22" s="101">
        <f>SUMIFS('0507 4度C'!$I:$I,'0507 4度C'!$A:$A,"新豐4線",'0507 4度C'!$B:$B,"平均")</f>
        <v>15.875</v>
      </c>
    </row>
    <row r="23" spans="2:13" ht="17.25" customHeight="1">
      <c r="B23" s="507" t="s">
        <v>329</v>
      </c>
      <c r="C23" s="508"/>
      <c r="D23" s="102" t="s">
        <v>177</v>
      </c>
      <c r="E23" s="103" t="s">
        <v>178</v>
      </c>
      <c r="F23" s="103" t="s">
        <v>660</v>
      </c>
      <c r="G23" s="103" t="s">
        <v>660</v>
      </c>
      <c r="H23" s="103" t="s">
        <v>180</v>
      </c>
      <c r="I23" s="103" t="s">
        <v>177</v>
      </c>
      <c r="J23" s="104" t="s">
        <v>180</v>
      </c>
      <c r="K23" s="102" t="s">
        <v>661</v>
      </c>
      <c r="L23" s="103" t="s">
        <v>661</v>
      </c>
      <c r="M23" s="104" t="s">
        <v>662</v>
      </c>
    </row>
    <row r="24" spans="2:13" ht="17.25" customHeight="1">
      <c r="B24" s="507" t="s">
        <v>663</v>
      </c>
      <c r="C24" s="508"/>
      <c r="D24" s="102"/>
      <c r="E24" s="103"/>
      <c r="F24" s="103" t="s">
        <v>664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665</v>
      </c>
      <c r="C25" s="510"/>
      <c r="D25" s="105"/>
      <c r="E25" s="106" t="s">
        <v>666</v>
      </c>
      <c r="F25" s="503" t="s">
        <v>667</v>
      </c>
      <c r="G25" s="504"/>
      <c r="H25" s="106" t="s">
        <v>668</v>
      </c>
      <c r="I25" s="106" t="s">
        <v>669</v>
      </c>
      <c r="J25" s="107" t="s">
        <v>670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43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0"/>
  <sheetViews>
    <sheetView zoomScale="80" zoomScaleNormal="80" workbookViewId="0">
      <pane ySplit="4" topLeftCell="A5" activePane="bottomLeft" state="frozen"/>
      <selection activeCell="E8" sqref="E8:F8"/>
      <selection pane="bottomLeft" activeCell="E8" sqref="E8:F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671</v>
      </c>
      <c r="B1" s="1"/>
      <c r="C1" s="2" t="s">
        <v>672</v>
      </c>
      <c r="D1" s="3">
        <f>SUM(F5:F69)</f>
        <v>165814</v>
      </c>
      <c r="E1" s="157" t="s">
        <v>673</v>
      </c>
      <c r="F1" s="1">
        <f>SUM(G5:G69)</f>
        <v>5584084.3199999994</v>
      </c>
      <c r="G1" s="1" t="s">
        <v>674</v>
      </c>
      <c r="H1" s="5">
        <f>L9+L12+L45+L53+L17+L60+L32+L40+L24+L69</f>
        <v>158.20833333333331</v>
      </c>
      <c r="I1" s="617" t="s">
        <v>675</v>
      </c>
      <c r="J1" s="617"/>
      <c r="K1" s="617"/>
      <c r="L1" s="617" t="s">
        <v>676</v>
      </c>
      <c r="M1" s="617"/>
      <c r="N1" s="617"/>
      <c r="O1" s="617" t="s">
        <v>677</v>
      </c>
      <c r="P1" s="617"/>
      <c r="Q1" s="617"/>
      <c r="R1" s="617"/>
      <c r="S1" s="617" t="s">
        <v>678</v>
      </c>
      <c r="T1" s="617"/>
      <c r="U1" s="617"/>
      <c r="V1" s="617"/>
      <c r="W1" s="617"/>
      <c r="X1" s="617"/>
      <c r="Y1" s="6" t="s">
        <v>679</v>
      </c>
      <c r="Z1" s="7" t="s">
        <v>680</v>
      </c>
      <c r="AA1" s="618" t="s">
        <v>681</v>
      </c>
      <c r="AB1" s="618"/>
      <c r="AC1" s="8" t="s">
        <v>682</v>
      </c>
      <c r="AD1" s="7" t="s">
        <v>683</v>
      </c>
      <c r="AE1" s="617" t="s">
        <v>684</v>
      </c>
      <c r="AF1" s="619"/>
      <c r="AG1" s="619"/>
    </row>
    <row r="2" spans="1:33" ht="26.25" customHeight="1">
      <c r="A2" s="37">
        <v>46149</v>
      </c>
      <c r="B2" s="38" t="s">
        <v>685</v>
      </c>
      <c r="C2" s="2" t="s">
        <v>365</v>
      </c>
      <c r="D2" s="10">
        <f>AVERAGE(N9,N12,N45,N53,N17,N60,N24,N32,N40,N69)</f>
        <v>145.22987897705346</v>
      </c>
      <c r="E2" s="11" t="s">
        <v>14</v>
      </c>
      <c r="F2" s="12">
        <f>F1/D1</f>
        <v>33.676796410435784</v>
      </c>
      <c r="G2" s="1" t="s">
        <v>686</v>
      </c>
      <c r="H2" s="163">
        <f>COUNT(H5:H69)</f>
        <v>8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SUM(Y9+Y12+Y17+Y24+Y32+Y40+Y45+Y53+Y60+Y69)</f>
        <v>0</v>
      </c>
      <c r="Z2" s="14">
        <f>SUM(Z9+Z12+Z17+Z24+Z32+Z40+Z45+Z53+Z60+Z69)</f>
        <v>0</v>
      </c>
      <c r="AA2" s="618"/>
      <c r="AB2" s="618"/>
      <c r="AC2" s="14">
        <f>SUM(AC9+AC12+AC17+AC24+AC32+AC40+AC45+AC53+AC60+AC69)</f>
        <v>55</v>
      </c>
      <c r="AD2" s="14">
        <f>SUM(AD9+AD12+AD17+AD24+AD32+AD40+AD45+AD53+AD60+AD69)</f>
        <v>0</v>
      </c>
      <c r="AE2" s="619"/>
      <c r="AF2" s="619"/>
      <c r="AG2" s="619"/>
    </row>
    <row r="3" spans="1:33" ht="40.5" customHeight="1">
      <c r="A3" s="575" t="s">
        <v>687</v>
      </c>
      <c r="B3" s="575" t="s">
        <v>688</v>
      </c>
      <c r="C3" s="575" t="s">
        <v>689</v>
      </c>
      <c r="D3" s="575"/>
      <c r="E3" s="615" t="s">
        <v>690</v>
      </c>
      <c r="F3" s="575" t="s">
        <v>691</v>
      </c>
      <c r="G3" s="615" t="s">
        <v>692</v>
      </c>
      <c r="H3" s="608" t="s">
        <v>693</v>
      </c>
      <c r="I3" s="606" t="s">
        <v>694</v>
      </c>
      <c r="J3" s="603" t="s">
        <v>695</v>
      </c>
      <c r="K3" s="613" t="s">
        <v>648</v>
      </c>
      <c r="L3" s="606" t="s">
        <v>694</v>
      </c>
      <c r="M3" s="603" t="s">
        <v>695</v>
      </c>
      <c r="N3" s="613" t="s">
        <v>648</v>
      </c>
      <c r="O3" s="606" t="s">
        <v>694</v>
      </c>
      <c r="P3" s="613" t="s">
        <v>365</v>
      </c>
      <c r="Q3" s="604" t="s">
        <v>696</v>
      </c>
      <c r="R3" s="582" t="s">
        <v>697</v>
      </c>
      <c r="S3" s="575" t="s">
        <v>28</v>
      </c>
      <c r="T3" s="575"/>
      <c r="U3" s="608" t="s">
        <v>29</v>
      </c>
      <c r="V3" s="608" t="s">
        <v>698</v>
      </c>
      <c r="W3" s="575" t="s">
        <v>699</v>
      </c>
      <c r="X3" s="575"/>
      <c r="Y3" s="609" t="s">
        <v>700</v>
      </c>
      <c r="Z3" s="572"/>
      <c r="AA3" s="610" t="s">
        <v>701</v>
      </c>
      <c r="AB3" s="611"/>
      <c r="AC3" s="609" t="s">
        <v>702</v>
      </c>
      <c r="AD3" s="572"/>
      <c r="AE3" s="603" t="s">
        <v>695</v>
      </c>
      <c r="AF3" s="604" t="s">
        <v>703</v>
      </c>
      <c r="AG3" s="582" t="s">
        <v>697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157" t="s">
        <v>36</v>
      </c>
      <c r="T4" s="157" t="s">
        <v>37</v>
      </c>
      <c r="U4" s="608"/>
      <c r="V4" s="608"/>
      <c r="W4" s="157" t="s">
        <v>704</v>
      </c>
      <c r="X4" s="157" t="s">
        <v>705</v>
      </c>
      <c r="Y4" s="156" t="s">
        <v>655</v>
      </c>
      <c r="Z4" s="156" t="s">
        <v>706</v>
      </c>
      <c r="AA4" s="612"/>
      <c r="AB4" s="611"/>
      <c r="AC4" s="156" t="s">
        <v>707</v>
      </c>
      <c r="AD4" s="156" t="s">
        <v>708</v>
      </c>
      <c r="AE4" s="603"/>
      <c r="AF4" s="604"/>
      <c r="AG4" s="582"/>
    </row>
    <row r="5" spans="1:33">
      <c r="A5" s="605" t="s">
        <v>709</v>
      </c>
      <c r="B5" s="39" t="s">
        <v>74</v>
      </c>
      <c r="C5" s="607" t="s">
        <v>75</v>
      </c>
      <c r="D5" s="607"/>
      <c r="E5" s="39">
        <v>50.67</v>
      </c>
      <c r="F5" s="162">
        <v>1119</v>
      </c>
      <c r="G5" s="157">
        <f t="shared" ref="G5:G8" si="0">E5*F5</f>
        <v>56699.73</v>
      </c>
      <c r="H5" s="48" t="s">
        <v>126</v>
      </c>
      <c r="I5" s="160">
        <v>17</v>
      </c>
      <c r="J5" s="43">
        <v>2000</v>
      </c>
      <c r="K5" s="18">
        <f t="shared" ref="K5:K68" si="1">J5/I5</f>
        <v>117.64705882352941</v>
      </c>
      <c r="L5" s="160">
        <v>17</v>
      </c>
      <c r="M5" s="19">
        <f t="shared" ref="M5:M8" si="2">F5/V5*60</f>
        <v>1918.2857142857124</v>
      </c>
      <c r="N5" s="18">
        <f t="shared" ref="N5:N68" si="3">M5/L5</f>
        <v>112.84033613445366</v>
      </c>
      <c r="O5" s="20">
        <f t="shared" ref="O5:O68" si="4">L5-I5</f>
        <v>0</v>
      </c>
      <c r="P5" s="21">
        <f t="shared" ref="P5:P68" si="5">N5-K5</f>
        <v>-4.8067226890757411</v>
      </c>
      <c r="Q5" s="158">
        <f t="shared" ref="Q5:Q68" si="6">N5/K5</f>
        <v>0.95914285714285619</v>
      </c>
      <c r="R5" s="573">
        <f>Q9</f>
        <v>0.96375610902255571</v>
      </c>
      <c r="S5" s="49">
        <v>0.70833333333333337</v>
      </c>
      <c r="T5" s="49">
        <v>0.73263888888888895</v>
      </c>
      <c r="U5" s="157"/>
      <c r="V5" s="161">
        <f t="shared" ref="V5:V8" si="7">(T5-S5)*24*60</f>
        <v>35.000000000000036</v>
      </c>
      <c r="W5" s="25"/>
      <c r="X5" s="26"/>
      <c r="Y5" s="26"/>
      <c r="Z5" s="26"/>
      <c r="AA5" s="575"/>
      <c r="AB5" s="575"/>
      <c r="AC5" s="50">
        <v>4</v>
      </c>
      <c r="AD5" s="27"/>
      <c r="AE5" s="20">
        <f t="shared" ref="AE5:AE52" si="8">M5-J5</f>
        <v>-81.714285714287598</v>
      </c>
      <c r="AF5" s="158">
        <f t="shared" ref="AF5:AF68" si="9">M5/J5</f>
        <v>0.95914285714285619</v>
      </c>
      <c r="AG5" s="573">
        <f>AF9</f>
        <v>0.96375610902255571</v>
      </c>
    </row>
    <row r="6" spans="1:33">
      <c r="A6" s="606" t="s">
        <v>710</v>
      </c>
      <c r="B6" s="39" t="s">
        <v>74</v>
      </c>
      <c r="C6" s="607" t="s">
        <v>76</v>
      </c>
      <c r="D6" s="607"/>
      <c r="E6" s="39">
        <v>54.09</v>
      </c>
      <c r="F6" s="162">
        <v>962</v>
      </c>
      <c r="G6" s="157">
        <f t="shared" si="0"/>
        <v>52034.58</v>
      </c>
      <c r="H6" s="48" t="s">
        <v>126</v>
      </c>
      <c r="I6" s="160">
        <v>19</v>
      </c>
      <c r="J6" s="43">
        <v>2000</v>
      </c>
      <c r="K6" s="18">
        <f t="shared" si="1"/>
        <v>105.26315789473684</v>
      </c>
      <c r="L6" s="160">
        <v>19</v>
      </c>
      <c r="M6" s="19">
        <f t="shared" si="2"/>
        <v>1923.9999999999968</v>
      </c>
      <c r="N6" s="18">
        <f t="shared" si="3"/>
        <v>101.26315789473668</v>
      </c>
      <c r="O6" s="20">
        <f t="shared" si="4"/>
        <v>0</v>
      </c>
      <c r="P6" s="21">
        <f t="shared" si="5"/>
        <v>-4.0000000000001563</v>
      </c>
      <c r="Q6" s="158">
        <f t="shared" si="6"/>
        <v>0.96199999999999852</v>
      </c>
      <c r="R6" s="573"/>
      <c r="S6" s="49">
        <v>0.7368055555555556</v>
      </c>
      <c r="T6" s="49">
        <v>0.75763888888888897</v>
      </c>
      <c r="U6" s="157">
        <f t="shared" ref="U6:U8" si="10">IF(S6=TIME(17,0,0),"",(S6-T5)*24*60)</f>
        <v>5.9999999999999787</v>
      </c>
      <c r="V6" s="161">
        <f t="shared" si="7"/>
        <v>30.000000000000053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-76.000000000003183</v>
      </c>
      <c r="AF6" s="158">
        <f t="shared" si="9"/>
        <v>0.96199999999999841</v>
      </c>
      <c r="AG6" s="573"/>
    </row>
    <row r="7" spans="1:33">
      <c r="A7" s="606" t="s">
        <v>710</v>
      </c>
      <c r="B7" s="39" t="s">
        <v>74</v>
      </c>
      <c r="C7" s="598" t="s">
        <v>77</v>
      </c>
      <c r="D7" s="599"/>
      <c r="E7" s="39">
        <v>50.67</v>
      </c>
      <c r="F7" s="162">
        <v>1232</v>
      </c>
      <c r="G7" s="157">
        <f t="shared" si="0"/>
        <v>62425.440000000002</v>
      </c>
      <c r="H7" s="48" t="s">
        <v>126</v>
      </c>
      <c r="I7" s="160">
        <v>15</v>
      </c>
      <c r="J7" s="43">
        <v>2000</v>
      </c>
      <c r="K7" s="18">
        <f t="shared" si="1"/>
        <v>133.33333333333334</v>
      </c>
      <c r="L7" s="160">
        <v>15</v>
      </c>
      <c r="M7" s="19">
        <f t="shared" si="2"/>
        <v>1945.2631578947355</v>
      </c>
      <c r="N7" s="18">
        <f t="shared" si="3"/>
        <v>129.6842105263157</v>
      </c>
      <c r="O7" s="20">
        <f t="shared" si="4"/>
        <v>0</v>
      </c>
      <c r="P7" s="21">
        <f t="shared" si="5"/>
        <v>-3.6491228070176476</v>
      </c>
      <c r="Q7" s="158">
        <f t="shared" si="6"/>
        <v>0.97263157894736763</v>
      </c>
      <c r="R7" s="573"/>
      <c r="S7" s="49">
        <v>0.76250000000000007</v>
      </c>
      <c r="T7" s="49">
        <v>0.78888888888888897</v>
      </c>
      <c r="U7" s="157">
        <f t="shared" si="10"/>
        <v>6.9999999999999751</v>
      </c>
      <c r="V7" s="161">
        <f t="shared" si="7"/>
        <v>38.000000000000028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-54.736842105264486</v>
      </c>
      <c r="AF7" s="158">
        <f t="shared" si="9"/>
        <v>0.97263157894736774</v>
      </c>
      <c r="AG7" s="573"/>
    </row>
    <row r="8" spans="1:33">
      <c r="A8" s="606" t="s">
        <v>710</v>
      </c>
      <c r="B8" s="39" t="s">
        <v>74</v>
      </c>
      <c r="C8" s="598" t="s">
        <v>78</v>
      </c>
      <c r="D8" s="599"/>
      <c r="E8" s="39">
        <v>52.86</v>
      </c>
      <c r="F8" s="162">
        <v>1538</v>
      </c>
      <c r="G8" s="157">
        <f t="shared" si="0"/>
        <v>81298.679999999993</v>
      </c>
      <c r="H8" s="48" t="s">
        <v>126</v>
      </c>
      <c r="I8" s="160">
        <v>16</v>
      </c>
      <c r="J8" s="43">
        <v>2000</v>
      </c>
      <c r="K8" s="18">
        <f t="shared" si="1"/>
        <v>125</v>
      </c>
      <c r="L8" s="160">
        <v>16</v>
      </c>
      <c r="M8" s="19">
        <f t="shared" si="2"/>
        <v>1922.5000000000007</v>
      </c>
      <c r="N8" s="18">
        <f t="shared" si="3"/>
        <v>120.15625000000004</v>
      </c>
      <c r="O8" s="20">
        <f t="shared" si="4"/>
        <v>0</v>
      </c>
      <c r="P8" s="21">
        <f t="shared" si="5"/>
        <v>-4.8437499999999574</v>
      </c>
      <c r="Q8" s="158">
        <f t="shared" si="6"/>
        <v>0.96125000000000038</v>
      </c>
      <c r="R8" s="573"/>
      <c r="S8" s="49">
        <v>0.79305555555555562</v>
      </c>
      <c r="T8" s="49">
        <v>0.82638888888888895</v>
      </c>
      <c r="U8" s="157">
        <f t="shared" si="10"/>
        <v>5.9999999999999787</v>
      </c>
      <c r="V8" s="161">
        <f t="shared" si="7"/>
        <v>47.999999999999986</v>
      </c>
      <c r="W8" s="30"/>
      <c r="X8" s="30"/>
      <c r="Y8" s="31"/>
      <c r="Z8" s="31"/>
      <c r="AA8" s="568"/>
      <c r="AB8" s="569"/>
      <c r="AC8" s="50"/>
      <c r="AD8" s="29"/>
      <c r="AE8" s="20">
        <f t="shared" si="8"/>
        <v>-77.499999999999318</v>
      </c>
      <c r="AF8" s="158">
        <f t="shared" si="9"/>
        <v>0.96125000000000038</v>
      </c>
      <c r="AG8" s="573"/>
    </row>
    <row r="9" spans="1:33">
      <c r="A9" s="606" t="s">
        <v>710</v>
      </c>
      <c r="B9" s="39" t="s">
        <v>711</v>
      </c>
      <c r="C9" s="576"/>
      <c r="D9" s="576"/>
      <c r="E9" s="159"/>
      <c r="F9" s="42"/>
      <c r="G9" s="18"/>
      <c r="H9" s="162"/>
      <c r="I9" s="32">
        <v>16.75</v>
      </c>
      <c r="J9" s="43">
        <v>2000</v>
      </c>
      <c r="K9" s="18">
        <f t="shared" si="1"/>
        <v>119.40298507462687</v>
      </c>
      <c r="L9" s="32">
        <v>16.75</v>
      </c>
      <c r="M9" s="19">
        <f>AVERAGE(M5:M8)</f>
        <v>1927.5122180451115</v>
      </c>
      <c r="N9" s="18">
        <f t="shared" si="3"/>
        <v>115.07535630120069</v>
      </c>
      <c r="O9" s="20">
        <f t="shared" si="4"/>
        <v>0</v>
      </c>
      <c r="P9" s="21">
        <f t="shared" si="5"/>
        <v>-4.3276287734261842</v>
      </c>
      <c r="Q9" s="158">
        <f t="shared" si="6"/>
        <v>0.96375610902255571</v>
      </c>
      <c r="R9" s="573"/>
      <c r="S9" s="49"/>
      <c r="T9" s="49"/>
      <c r="U9" s="157"/>
      <c r="V9" s="161"/>
      <c r="W9" s="18"/>
      <c r="X9" s="18"/>
      <c r="Y9" s="33">
        <f>SUM(Y5:Y8)</f>
        <v>0</v>
      </c>
      <c r="Z9" s="33">
        <f>SUM(Z5:Z8)</f>
        <v>0</v>
      </c>
      <c r="AA9" s="572"/>
      <c r="AB9" s="572"/>
      <c r="AC9" s="33">
        <f>SUM(AC5:AC8)</f>
        <v>4</v>
      </c>
      <c r="AD9" s="33">
        <f>SUM(AD5:AD8)</f>
        <v>0</v>
      </c>
      <c r="AE9" s="20">
        <f t="shared" si="8"/>
        <v>-72.487781954888533</v>
      </c>
      <c r="AF9" s="158">
        <f t="shared" si="9"/>
        <v>0.96375610902255571</v>
      </c>
      <c r="AG9" s="573"/>
    </row>
    <row r="10" spans="1:33" ht="15.75" customHeight="1">
      <c r="A10" s="602" t="s">
        <v>48</v>
      </c>
      <c r="B10" s="39" t="s">
        <v>79</v>
      </c>
      <c r="C10" s="598" t="s">
        <v>80</v>
      </c>
      <c r="D10" s="599"/>
      <c r="E10" s="39">
        <v>39.619999999999997</v>
      </c>
      <c r="F10" s="162">
        <v>4282</v>
      </c>
      <c r="G10" s="157">
        <f t="shared" ref="G10:G11" si="11">E10*F10</f>
        <v>169652.84</v>
      </c>
      <c r="H10" s="48" t="s">
        <v>126</v>
      </c>
      <c r="I10" s="160">
        <v>19</v>
      </c>
      <c r="J10" s="43">
        <v>1500</v>
      </c>
      <c r="K10" s="18">
        <f t="shared" si="1"/>
        <v>78.94736842105263</v>
      </c>
      <c r="L10" s="160">
        <v>19</v>
      </c>
      <c r="M10" s="19">
        <f t="shared" ref="M10:M11" si="12">F10/V10*60</f>
        <v>1435.3072625698319</v>
      </c>
      <c r="N10" s="18">
        <f t="shared" si="3"/>
        <v>75.54248750367536</v>
      </c>
      <c r="O10" s="20">
        <f t="shared" si="4"/>
        <v>0</v>
      </c>
      <c r="P10" s="21">
        <f t="shared" si="5"/>
        <v>-3.4048809173772696</v>
      </c>
      <c r="Q10" s="158">
        <f t="shared" si="6"/>
        <v>0.95687150837988788</v>
      </c>
      <c r="R10" s="573">
        <f>Q12</f>
        <v>0.95562206597701627</v>
      </c>
      <c r="S10" s="49">
        <v>0.20833333333333334</v>
      </c>
      <c r="T10" s="49">
        <v>0.33263888888888893</v>
      </c>
      <c r="U10" s="157"/>
      <c r="V10" s="161">
        <f t="shared" ref="V10:V11" si="13">(T10-S10)*24*60</f>
        <v>179.00000000000006</v>
      </c>
      <c r="W10" s="25"/>
      <c r="X10" s="25"/>
      <c r="Y10" s="25"/>
      <c r="Z10" s="25"/>
      <c r="AA10" s="575"/>
      <c r="AB10" s="575"/>
      <c r="AC10" s="50">
        <v>2</v>
      </c>
      <c r="AD10" s="27"/>
      <c r="AE10" s="20">
        <f t="shared" si="8"/>
        <v>-64.692737430168108</v>
      </c>
      <c r="AF10" s="158">
        <f t="shared" si="9"/>
        <v>0.95687150837988788</v>
      </c>
      <c r="AG10" s="573">
        <f>AF12</f>
        <v>0.95562206597701627</v>
      </c>
    </row>
    <row r="11" spans="1:33" ht="15.75" customHeight="1">
      <c r="A11" s="602" t="s">
        <v>712</v>
      </c>
      <c r="B11" s="39" t="s">
        <v>79</v>
      </c>
      <c r="C11" s="598" t="s">
        <v>81</v>
      </c>
      <c r="D11" s="599"/>
      <c r="E11" s="39">
        <v>39.799999999999997</v>
      </c>
      <c r="F11" s="162">
        <v>6275</v>
      </c>
      <c r="G11" s="157">
        <f t="shared" si="11"/>
        <v>249744.99999999997</v>
      </c>
      <c r="H11" s="48" t="s">
        <v>126</v>
      </c>
      <c r="I11" s="160">
        <v>17</v>
      </c>
      <c r="J11" s="43">
        <v>1500</v>
      </c>
      <c r="K11" s="18">
        <f t="shared" si="1"/>
        <v>88.235294117647058</v>
      </c>
      <c r="L11" s="160">
        <v>17</v>
      </c>
      <c r="M11" s="19">
        <f t="shared" si="12"/>
        <v>1431.5589353612168</v>
      </c>
      <c r="N11" s="18">
        <f t="shared" si="3"/>
        <v>84.209349138895107</v>
      </c>
      <c r="O11" s="20">
        <f t="shared" si="4"/>
        <v>0</v>
      </c>
      <c r="P11" s="21">
        <f t="shared" si="5"/>
        <v>-4.0259449787519515</v>
      </c>
      <c r="Q11" s="158">
        <f t="shared" si="6"/>
        <v>0.95437262357414454</v>
      </c>
      <c r="R11" s="573"/>
      <c r="S11" s="49">
        <v>0.33611111111111114</v>
      </c>
      <c r="T11" s="49">
        <v>0.51875000000000004</v>
      </c>
      <c r="U11" s="157">
        <f t="shared" ref="U11" si="14">IF(S11=TIME(17,0,0),"",(S11-T10)*24*60)</f>
        <v>4.9999999999999822</v>
      </c>
      <c r="V11" s="161">
        <f t="shared" si="13"/>
        <v>263</v>
      </c>
      <c r="W11" s="25"/>
      <c r="X11" s="25"/>
      <c r="Y11" s="25"/>
      <c r="Z11" s="25"/>
      <c r="AA11" s="575"/>
      <c r="AB11" s="575"/>
      <c r="AC11" s="50"/>
      <c r="AD11" s="27"/>
      <c r="AE11" s="20">
        <f t="shared" si="8"/>
        <v>-68.441064638783246</v>
      </c>
      <c r="AF11" s="158">
        <f t="shared" si="9"/>
        <v>0.95437262357414454</v>
      </c>
      <c r="AG11" s="573"/>
    </row>
    <row r="12" spans="1:33" ht="16.5" customHeight="1">
      <c r="A12" s="602" t="s">
        <v>712</v>
      </c>
      <c r="B12" s="39" t="s">
        <v>713</v>
      </c>
      <c r="C12" s="576"/>
      <c r="D12" s="576"/>
      <c r="E12" s="159"/>
      <c r="F12" s="43"/>
      <c r="G12" s="19"/>
      <c r="H12" s="162"/>
      <c r="I12" s="32">
        <v>18</v>
      </c>
      <c r="J12" s="43">
        <v>1500</v>
      </c>
      <c r="K12" s="18">
        <f t="shared" si="1"/>
        <v>83.333333333333329</v>
      </c>
      <c r="L12" s="32">
        <v>18</v>
      </c>
      <c r="M12" s="19">
        <f>AVERAGE(M10:M11)</f>
        <v>1433.4330989655243</v>
      </c>
      <c r="N12" s="18">
        <f t="shared" si="3"/>
        <v>79.635172164751353</v>
      </c>
      <c r="O12" s="20">
        <f t="shared" si="4"/>
        <v>0</v>
      </c>
      <c r="P12" s="21">
        <f t="shared" si="5"/>
        <v>-3.6981611685819757</v>
      </c>
      <c r="Q12" s="158">
        <f t="shared" si="6"/>
        <v>0.95562206597701627</v>
      </c>
      <c r="R12" s="573"/>
      <c r="S12" s="49"/>
      <c r="T12" s="49"/>
      <c r="U12" s="18"/>
      <c r="V12" s="161"/>
      <c r="W12" s="18"/>
      <c r="X12" s="18"/>
      <c r="Y12" s="33">
        <f>SUM(Y10:Y11)</f>
        <v>0</v>
      </c>
      <c r="Z12" s="33">
        <f>SUM(Z10:Z11)</f>
        <v>0</v>
      </c>
      <c r="AA12" s="572"/>
      <c r="AB12" s="572"/>
      <c r="AC12" s="33">
        <f>SUM(AC10:AC11)</f>
        <v>2</v>
      </c>
      <c r="AD12" s="33">
        <f>SUM(AD10:AD11)</f>
        <v>0</v>
      </c>
      <c r="AE12" s="20">
        <f t="shared" si="8"/>
        <v>-66.566901034475677</v>
      </c>
      <c r="AF12" s="158">
        <f t="shared" si="9"/>
        <v>0.95562206597701627</v>
      </c>
      <c r="AG12" s="573"/>
    </row>
    <row r="13" spans="1:33" ht="16.5" customHeight="1">
      <c r="A13" s="600" t="s">
        <v>714</v>
      </c>
      <c r="B13" s="162" t="s">
        <v>82</v>
      </c>
      <c r="C13" s="594" t="s">
        <v>83</v>
      </c>
      <c r="D13" s="594"/>
      <c r="E13" s="39">
        <v>41</v>
      </c>
      <c r="F13" s="162">
        <v>2042</v>
      </c>
      <c r="G13" s="157">
        <f t="shared" ref="G13:G16" si="15">E13*F13</f>
        <v>83722</v>
      </c>
      <c r="H13" s="48" t="s">
        <v>126</v>
      </c>
      <c r="I13" s="160">
        <v>26</v>
      </c>
      <c r="J13" s="43">
        <v>1500</v>
      </c>
      <c r="K13" s="18">
        <f t="shared" si="1"/>
        <v>57.692307692307693</v>
      </c>
      <c r="L13" s="160">
        <v>26</v>
      </c>
      <c r="M13" s="19">
        <f t="shared" ref="M13:M16" si="16">F13/V13*60</f>
        <v>1441.4117647058829</v>
      </c>
      <c r="N13" s="18">
        <f t="shared" si="3"/>
        <v>55.438914027149345</v>
      </c>
      <c r="O13" s="20">
        <f t="shared" si="4"/>
        <v>0</v>
      </c>
      <c r="P13" s="21">
        <f t="shared" si="5"/>
        <v>-2.2533936651583488</v>
      </c>
      <c r="Q13" s="158">
        <f t="shared" si="6"/>
        <v>0.96094117647058863</v>
      </c>
      <c r="R13" s="573">
        <f>Q17</f>
        <v>0.95963741759622434</v>
      </c>
      <c r="S13" s="49">
        <v>0.20833333333333334</v>
      </c>
      <c r="T13" s="49">
        <v>0.2673611111111111</v>
      </c>
      <c r="U13" s="157"/>
      <c r="V13" s="161">
        <f t="shared" ref="V13:V16" si="17">(T13-S13)*24*60</f>
        <v>84.999999999999972</v>
      </c>
      <c r="W13" s="30"/>
      <c r="X13" s="30"/>
      <c r="Y13" s="30"/>
      <c r="Z13" s="30"/>
      <c r="AA13" s="575"/>
      <c r="AB13" s="575"/>
      <c r="AC13" s="50">
        <v>4</v>
      </c>
      <c r="AD13" s="27"/>
      <c r="AE13" s="20">
        <f t="shared" si="8"/>
        <v>-58.588235294117112</v>
      </c>
      <c r="AF13" s="158">
        <f t="shared" si="9"/>
        <v>0.96094117647058863</v>
      </c>
      <c r="AG13" s="573">
        <f>AF17</f>
        <v>0.95963741759622434</v>
      </c>
    </row>
    <row r="14" spans="1:33" ht="16.5" customHeight="1">
      <c r="A14" s="601" t="s">
        <v>715</v>
      </c>
      <c r="B14" s="162" t="s">
        <v>74</v>
      </c>
      <c r="C14" s="594" t="s">
        <v>85</v>
      </c>
      <c r="D14" s="594"/>
      <c r="E14" s="39">
        <v>53.68</v>
      </c>
      <c r="F14" s="162">
        <v>1081</v>
      </c>
      <c r="G14" s="157">
        <f t="shared" si="15"/>
        <v>58028.08</v>
      </c>
      <c r="H14" s="48" t="s">
        <v>126</v>
      </c>
      <c r="I14" s="160">
        <v>16</v>
      </c>
      <c r="J14" s="43">
        <v>1500</v>
      </c>
      <c r="K14" s="18">
        <f t="shared" si="1"/>
        <v>93.75</v>
      </c>
      <c r="L14" s="160">
        <v>16</v>
      </c>
      <c r="M14" s="19">
        <f t="shared" si="16"/>
        <v>1441.3333333333333</v>
      </c>
      <c r="N14" s="18">
        <f t="shared" si="3"/>
        <v>90.083333333333329</v>
      </c>
      <c r="O14" s="20">
        <f t="shared" si="4"/>
        <v>0</v>
      </c>
      <c r="P14" s="21">
        <f t="shared" si="5"/>
        <v>-3.6666666666666714</v>
      </c>
      <c r="Q14" s="158">
        <f t="shared" si="6"/>
        <v>0.96088888888888879</v>
      </c>
      <c r="R14" s="573"/>
      <c r="S14" s="49">
        <v>0.70833333333333337</v>
      </c>
      <c r="T14" s="49">
        <v>0.73958333333333337</v>
      </c>
      <c r="U14" s="157" t="str">
        <f t="shared" ref="U14:U16" si="18">IF(S14=TIME(17,0,0),"",(S14-T13)*24*60)</f>
        <v/>
      </c>
      <c r="V14" s="161">
        <f t="shared" si="17"/>
        <v>45</v>
      </c>
      <c r="W14" s="25"/>
      <c r="X14" s="25"/>
      <c r="Y14" s="25"/>
      <c r="Z14" s="25"/>
      <c r="AA14" s="575"/>
      <c r="AB14" s="575"/>
      <c r="AC14" s="50"/>
      <c r="AD14" s="27"/>
      <c r="AE14" s="20">
        <f t="shared" si="8"/>
        <v>-58.666666666666742</v>
      </c>
      <c r="AF14" s="158">
        <f t="shared" si="9"/>
        <v>0.96088888888888879</v>
      </c>
      <c r="AG14" s="573"/>
    </row>
    <row r="15" spans="1:33" ht="16.5" customHeight="1">
      <c r="A15" s="601" t="s">
        <v>714</v>
      </c>
      <c r="B15" s="162" t="s">
        <v>74</v>
      </c>
      <c r="C15" s="594" t="s">
        <v>86</v>
      </c>
      <c r="D15" s="594"/>
      <c r="E15" s="39">
        <v>50.92</v>
      </c>
      <c r="F15" s="162">
        <v>1890</v>
      </c>
      <c r="G15" s="157">
        <f t="shared" si="15"/>
        <v>96238.8</v>
      </c>
      <c r="H15" s="48" t="s">
        <v>126</v>
      </c>
      <c r="I15" s="160">
        <v>15</v>
      </c>
      <c r="J15" s="43">
        <v>2000</v>
      </c>
      <c r="K15" s="18">
        <f t="shared" si="1"/>
        <v>133.33333333333334</v>
      </c>
      <c r="L15" s="160">
        <v>15</v>
      </c>
      <c r="M15" s="19">
        <f t="shared" si="16"/>
        <v>1922.0338983050865</v>
      </c>
      <c r="N15" s="18">
        <f t="shared" si="3"/>
        <v>128.1355932203391</v>
      </c>
      <c r="O15" s="20">
        <f t="shared" si="4"/>
        <v>0</v>
      </c>
      <c r="P15" s="21">
        <f t="shared" si="5"/>
        <v>-5.1977401129942393</v>
      </c>
      <c r="Q15" s="158">
        <f t="shared" si="6"/>
        <v>0.96101694915254321</v>
      </c>
      <c r="R15" s="573"/>
      <c r="S15" s="49">
        <v>0.74375000000000002</v>
      </c>
      <c r="T15" s="49">
        <v>0.78472222222222221</v>
      </c>
      <c r="U15" s="157">
        <f t="shared" si="18"/>
        <v>5.9999999999999787</v>
      </c>
      <c r="V15" s="161">
        <f t="shared" si="17"/>
        <v>58.99999999999995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-77.966101694913505</v>
      </c>
      <c r="AF15" s="158">
        <f t="shared" si="9"/>
        <v>0.96101694915254321</v>
      </c>
      <c r="AG15" s="573"/>
    </row>
    <row r="16" spans="1:33" ht="16.5" customHeight="1">
      <c r="A16" s="601" t="s">
        <v>715</v>
      </c>
      <c r="B16" s="162" t="s">
        <v>74</v>
      </c>
      <c r="C16" s="594" t="s">
        <v>87</v>
      </c>
      <c r="D16" s="594"/>
      <c r="E16" s="39">
        <v>57.3</v>
      </c>
      <c r="F16" s="162">
        <v>1307</v>
      </c>
      <c r="G16" s="157">
        <f t="shared" si="15"/>
        <v>74891.099999999991</v>
      </c>
      <c r="H16" s="48" t="s">
        <v>126</v>
      </c>
      <c r="I16" s="160">
        <v>13</v>
      </c>
      <c r="J16" s="43">
        <v>2000</v>
      </c>
      <c r="K16" s="18">
        <f t="shared" si="1"/>
        <v>153.84615384615384</v>
      </c>
      <c r="L16" s="160">
        <v>13</v>
      </c>
      <c r="M16" s="19">
        <f t="shared" si="16"/>
        <v>1912.6829268292677</v>
      </c>
      <c r="N16" s="18">
        <f t="shared" si="3"/>
        <v>147.12945590994366</v>
      </c>
      <c r="O16" s="20">
        <f t="shared" si="4"/>
        <v>0</v>
      </c>
      <c r="P16" s="21">
        <f t="shared" si="5"/>
        <v>-6.7166979362101813</v>
      </c>
      <c r="Q16" s="158">
        <f t="shared" si="6"/>
        <v>0.95634146341463377</v>
      </c>
      <c r="R16" s="573"/>
      <c r="S16" s="49">
        <v>0.78819444444444442</v>
      </c>
      <c r="T16" s="49">
        <v>0.81666666666666665</v>
      </c>
      <c r="U16" s="157">
        <f t="shared" si="18"/>
        <v>4.9999999999999822</v>
      </c>
      <c r="V16" s="161">
        <f t="shared" si="17"/>
        <v>41.000000000000014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-87.317073170732328</v>
      </c>
      <c r="AF16" s="158">
        <f t="shared" si="9"/>
        <v>0.95634146341463389</v>
      </c>
      <c r="AG16" s="573"/>
    </row>
    <row r="17" spans="1:33" ht="16.5" customHeight="1">
      <c r="A17" s="601" t="s">
        <v>715</v>
      </c>
      <c r="B17" s="39" t="s">
        <v>711</v>
      </c>
      <c r="C17" s="576"/>
      <c r="D17" s="576"/>
      <c r="E17" s="159"/>
      <c r="F17" s="42"/>
      <c r="G17" s="18"/>
      <c r="H17" s="162"/>
      <c r="I17" s="32">
        <v>17.5</v>
      </c>
      <c r="J17" s="43">
        <v>1750</v>
      </c>
      <c r="K17" s="18">
        <f t="shared" si="1"/>
        <v>100</v>
      </c>
      <c r="L17" s="32">
        <v>17.5</v>
      </c>
      <c r="M17" s="19">
        <f>AVERAGE(M13:M16)</f>
        <v>1679.3654807933926</v>
      </c>
      <c r="N17" s="18">
        <f t="shared" si="3"/>
        <v>95.963741759622437</v>
      </c>
      <c r="O17" s="20">
        <f t="shared" si="4"/>
        <v>0</v>
      </c>
      <c r="P17" s="21">
        <f t="shared" si="5"/>
        <v>-4.0362582403775633</v>
      </c>
      <c r="Q17" s="158">
        <f t="shared" si="6"/>
        <v>0.95963741759622434</v>
      </c>
      <c r="R17" s="573"/>
      <c r="S17" s="49"/>
      <c r="T17" s="49"/>
      <c r="U17" s="157"/>
      <c r="V17" s="161"/>
      <c r="W17" s="18"/>
      <c r="X17" s="18"/>
      <c r="Y17" s="33">
        <f>SUM(Y13:Y16)</f>
        <v>0</v>
      </c>
      <c r="Z17" s="33">
        <f>SUM(Z13:Z16)</f>
        <v>0</v>
      </c>
      <c r="AA17" s="572"/>
      <c r="AB17" s="572"/>
      <c r="AC17" s="33">
        <f>SUM(AC13:AC16)</f>
        <v>4</v>
      </c>
      <c r="AD17" s="33">
        <f>SUM(AD13:AD16)</f>
        <v>0</v>
      </c>
      <c r="AE17" s="20">
        <f t="shared" si="8"/>
        <v>-70.634519206607365</v>
      </c>
      <c r="AF17" s="158">
        <f t="shared" si="9"/>
        <v>0.95963741759622434</v>
      </c>
      <c r="AG17" s="573"/>
    </row>
    <row r="18" spans="1:33" ht="15.75" customHeight="1">
      <c r="A18" s="596" t="s">
        <v>54</v>
      </c>
      <c r="B18" s="39" t="s">
        <v>74</v>
      </c>
      <c r="C18" s="594" t="s">
        <v>84</v>
      </c>
      <c r="D18" s="594"/>
      <c r="E18" s="39">
        <v>54.09</v>
      </c>
      <c r="F18" s="162">
        <v>2323</v>
      </c>
      <c r="G18" s="157">
        <f t="shared" ref="G18:G23" si="19">E18*F18</f>
        <v>125651.07</v>
      </c>
      <c r="H18" s="48" t="s">
        <v>126</v>
      </c>
      <c r="I18" s="160">
        <v>17</v>
      </c>
      <c r="J18" s="43">
        <v>1500</v>
      </c>
      <c r="K18" s="18">
        <f t="shared" si="1"/>
        <v>88.235294117647058</v>
      </c>
      <c r="L18" s="160">
        <v>17</v>
      </c>
      <c r="M18" s="19">
        <f t="shared" ref="M18:M23" si="20">F18/V18*60</f>
        <v>1436.9072164948452</v>
      </c>
      <c r="N18" s="18">
        <f t="shared" si="3"/>
        <v>84.52395391146149</v>
      </c>
      <c r="O18" s="20">
        <f t="shared" si="4"/>
        <v>0</v>
      </c>
      <c r="P18" s="21">
        <f t="shared" si="5"/>
        <v>-3.711340206185568</v>
      </c>
      <c r="Q18" s="158">
        <f t="shared" si="6"/>
        <v>0.95793814432989688</v>
      </c>
      <c r="R18" s="573">
        <f>Q24</f>
        <v>0.9611532809453911</v>
      </c>
      <c r="S18" s="49">
        <v>0.20833333333333334</v>
      </c>
      <c r="T18" s="49">
        <v>0.27569444444444446</v>
      </c>
      <c r="U18" s="157"/>
      <c r="V18" s="161">
        <f t="shared" ref="V18:V23" si="21">(T18-S18)*24*60</f>
        <v>97.000000000000014</v>
      </c>
      <c r="W18" s="30"/>
      <c r="X18" s="30"/>
      <c r="Y18" s="30"/>
      <c r="Z18" s="30"/>
      <c r="AA18" s="575"/>
      <c r="AB18" s="575"/>
      <c r="AC18" s="50">
        <v>6</v>
      </c>
      <c r="AD18" s="27"/>
      <c r="AE18" s="20">
        <f t="shared" si="8"/>
        <v>-63.092783505154785</v>
      </c>
      <c r="AF18" s="158">
        <f t="shared" si="9"/>
        <v>0.95793814432989677</v>
      </c>
      <c r="AG18" s="573">
        <f>AF24</f>
        <v>0.9611532809453911</v>
      </c>
    </row>
    <row r="19" spans="1:33" ht="15.75" customHeight="1">
      <c r="A19" s="597" t="s">
        <v>54</v>
      </c>
      <c r="B19" s="39" t="s">
        <v>74</v>
      </c>
      <c r="C19" s="594" t="s">
        <v>89</v>
      </c>
      <c r="D19" s="594"/>
      <c r="E19" s="39">
        <v>50.67</v>
      </c>
      <c r="F19" s="162">
        <v>2007</v>
      </c>
      <c r="G19" s="157">
        <f t="shared" si="19"/>
        <v>101694.69</v>
      </c>
      <c r="H19" s="48" t="s">
        <v>126</v>
      </c>
      <c r="I19" s="160">
        <v>17</v>
      </c>
      <c r="J19" s="43">
        <v>2000</v>
      </c>
      <c r="K19" s="18">
        <f t="shared" si="1"/>
        <v>117.64705882352941</v>
      </c>
      <c r="L19" s="160">
        <v>17</v>
      </c>
      <c r="M19" s="19">
        <f t="shared" si="20"/>
        <v>1911.4285714285711</v>
      </c>
      <c r="N19" s="18">
        <f t="shared" si="3"/>
        <v>112.43697478991595</v>
      </c>
      <c r="O19" s="20">
        <f t="shared" si="4"/>
        <v>0</v>
      </c>
      <c r="P19" s="21">
        <f t="shared" si="5"/>
        <v>-5.2100840336134553</v>
      </c>
      <c r="Q19" s="158">
        <f t="shared" si="6"/>
        <v>0.95571428571428563</v>
      </c>
      <c r="R19" s="573"/>
      <c r="S19" s="49">
        <v>0.28055555555555556</v>
      </c>
      <c r="T19" s="49">
        <v>0.32430555555555557</v>
      </c>
      <c r="U19" s="157">
        <f t="shared" ref="U19:U23" si="22">IF(S19=TIME(17,0,0),"",(S19-T18)*24*60)</f>
        <v>6.9999999999999751</v>
      </c>
      <c r="V19" s="161">
        <f t="shared" si="21"/>
        <v>63.000000000000014</v>
      </c>
      <c r="W19" s="25"/>
      <c r="X19" s="157"/>
      <c r="Y19" s="157"/>
      <c r="Z19" s="157"/>
      <c r="AA19" s="575"/>
      <c r="AB19" s="575"/>
      <c r="AC19" s="50"/>
      <c r="AD19" s="27"/>
      <c r="AE19" s="20">
        <f t="shared" si="8"/>
        <v>-88.571428571428896</v>
      </c>
      <c r="AF19" s="158">
        <f t="shared" si="9"/>
        <v>0.95571428571428552</v>
      </c>
      <c r="AG19" s="573"/>
    </row>
    <row r="20" spans="1:33" ht="15.75" customHeight="1">
      <c r="A20" s="597" t="s">
        <v>54</v>
      </c>
      <c r="B20" s="39" t="s">
        <v>74</v>
      </c>
      <c r="C20" s="594" t="s">
        <v>90</v>
      </c>
      <c r="D20" s="594"/>
      <c r="E20" s="39">
        <v>57.73</v>
      </c>
      <c r="F20" s="162">
        <v>2150</v>
      </c>
      <c r="G20" s="157">
        <f t="shared" si="19"/>
        <v>124119.5</v>
      </c>
      <c r="H20" s="48" t="s">
        <v>126</v>
      </c>
      <c r="I20" s="160">
        <v>14</v>
      </c>
      <c r="J20" s="43">
        <v>2000</v>
      </c>
      <c r="K20" s="18">
        <f t="shared" si="1"/>
        <v>142.85714285714286</v>
      </c>
      <c r="L20" s="160">
        <v>14</v>
      </c>
      <c r="M20" s="19">
        <f t="shared" si="20"/>
        <v>1925.3731343283582</v>
      </c>
      <c r="N20" s="18">
        <f t="shared" si="3"/>
        <v>137.52665245202559</v>
      </c>
      <c r="O20" s="20">
        <f t="shared" si="4"/>
        <v>0</v>
      </c>
      <c r="P20" s="21">
        <f t="shared" si="5"/>
        <v>-5.3304904051172741</v>
      </c>
      <c r="Q20" s="158">
        <f t="shared" si="6"/>
        <v>0.96268656716417911</v>
      </c>
      <c r="R20" s="573"/>
      <c r="S20" s="49">
        <v>0.32777777777777778</v>
      </c>
      <c r="T20" s="49">
        <v>0.37430555555555556</v>
      </c>
      <c r="U20" s="157">
        <f t="shared" si="22"/>
        <v>4.9999999999999822</v>
      </c>
      <c r="V20" s="161">
        <f t="shared" si="21"/>
        <v>67</v>
      </c>
      <c r="W20" s="25"/>
      <c r="X20" s="157"/>
      <c r="Y20" s="157"/>
      <c r="Z20" s="157"/>
      <c r="AA20" s="575"/>
      <c r="AB20" s="575"/>
      <c r="AC20" s="50"/>
      <c r="AD20" s="27"/>
      <c r="AE20" s="20">
        <f t="shared" si="8"/>
        <v>-74.626865671641781</v>
      </c>
      <c r="AF20" s="158">
        <f t="shared" si="9"/>
        <v>0.96268656716417911</v>
      </c>
      <c r="AG20" s="573"/>
    </row>
    <row r="21" spans="1:33" ht="15.75" customHeight="1">
      <c r="A21" s="597" t="s">
        <v>54</v>
      </c>
      <c r="B21" s="39" t="s">
        <v>74</v>
      </c>
      <c r="C21" s="594" t="s">
        <v>91</v>
      </c>
      <c r="D21" s="594"/>
      <c r="E21" s="39">
        <v>53.68</v>
      </c>
      <c r="F21" s="162">
        <v>1136</v>
      </c>
      <c r="G21" s="157">
        <f t="shared" si="19"/>
        <v>60980.480000000003</v>
      </c>
      <c r="H21" s="48" t="s">
        <v>126</v>
      </c>
      <c r="I21" s="160">
        <v>16</v>
      </c>
      <c r="J21" s="43">
        <v>2000</v>
      </c>
      <c r="K21" s="18">
        <f t="shared" si="1"/>
        <v>125</v>
      </c>
      <c r="L21" s="160">
        <v>16</v>
      </c>
      <c r="M21" s="19">
        <f t="shared" si="20"/>
        <v>1947.4285714285697</v>
      </c>
      <c r="N21" s="18">
        <f t="shared" si="3"/>
        <v>121.71428571428561</v>
      </c>
      <c r="O21" s="20">
        <f t="shared" si="4"/>
        <v>0</v>
      </c>
      <c r="P21" s="21">
        <f t="shared" si="5"/>
        <v>-3.2857142857143913</v>
      </c>
      <c r="Q21" s="158">
        <f t="shared" si="6"/>
        <v>0.97371428571428487</v>
      </c>
      <c r="R21" s="573"/>
      <c r="S21" s="49">
        <v>0.37847222222222221</v>
      </c>
      <c r="T21" s="49">
        <v>0.40277777777777779</v>
      </c>
      <c r="U21" s="157">
        <f t="shared" si="22"/>
        <v>5.9999999999999787</v>
      </c>
      <c r="V21" s="161">
        <f t="shared" si="21"/>
        <v>35.000000000000036</v>
      </c>
      <c r="W21" s="25"/>
      <c r="X21" s="157"/>
      <c r="Y21" s="157"/>
      <c r="Z21" s="157"/>
      <c r="AA21" s="575"/>
      <c r="AB21" s="575"/>
      <c r="AC21" s="50"/>
      <c r="AD21" s="27"/>
      <c r="AE21" s="20">
        <f t="shared" si="8"/>
        <v>-52.57142857143026</v>
      </c>
      <c r="AF21" s="158">
        <f t="shared" si="9"/>
        <v>0.97371428571428487</v>
      </c>
      <c r="AG21" s="573"/>
    </row>
    <row r="22" spans="1:33" ht="15.75" customHeight="1">
      <c r="A22" s="597" t="s">
        <v>54</v>
      </c>
      <c r="B22" s="39" t="s">
        <v>74</v>
      </c>
      <c r="C22" s="594" t="s">
        <v>92</v>
      </c>
      <c r="D22" s="594"/>
      <c r="E22" s="39">
        <v>50.49</v>
      </c>
      <c r="F22" s="162">
        <v>1636</v>
      </c>
      <c r="G22" s="157">
        <f t="shared" si="19"/>
        <v>82601.64</v>
      </c>
      <c r="H22" s="48" t="s">
        <v>126</v>
      </c>
      <c r="I22" s="160">
        <v>15</v>
      </c>
      <c r="J22" s="43">
        <v>2000</v>
      </c>
      <c r="K22" s="18">
        <f t="shared" si="1"/>
        <v>133.33333333333334</v>
      </c>
      <c r="L22" s="160">
        <v>15</v>
      </c>
      <c r="M22" s="19">
        <f t="shared" si="20"/>
        <v>1924.7058823529419</v>
      </c>
      <c r="N22" s="18">
        <f t="shared" si="3"/>
        <v>128.31372549019613</v>
      </c>
      <c r="O22" s="20">
        <f t="shared" si="4"/>
        <v>0</v>
      </c>
      <c r="P22" s="21">
        <f t="shared" si="5"/>
        <v>-5.0196078431372086</v>
      </c>
      <c r="Q22" s="158">
        <f t="shared" si="6"/>
        <v>0.96235294117647097</v>
      </c>
      <c r="R22" s="573"/>
      <c r="S22" s="49">
        <v>0.70833333333333337</v>
      </c>
      <c r="T22" s="49">
        <v>0.74375000000000002</v>
      </c>
      <c r="U22" s="157" t="str">
        <f t="shared" si="22"/>
        <v/>
      </c>
      <c r="V22" s="161">
        <f t="shared" si="21"/>
        <v>50.999999999999979</v>
      </c>
      <c r="W22" s="25"/>
      <c r="X22" s="25"/>
      <c r="Y22" s="157"/>
      <c r="Z22" s="157"/>
      <c r="AA22" s="575"/>
      <c r="AB22" s="575"/>
      <c r="AC22" s="50"/>
      <c r="AD22" s="27"/>
      <c r="AE22" s="20">
        <f t="shared" si="8"/>
        <v>-75.294117647058101</v>
      </c>
      <c r="AF22" s="158">
        <f t="shared" si="9"/>
        <v>0.96235294117647097</v>
      </c>
      <c r="AG22" s="573"/>
    </row>
    <row r="23" spans="1:33" ht="15.75" customHeight="1">
      <c r="A23" s="597" t="s">
        <v>54</v>
      </c>
      <c r="B23" s="39" t="s">
        <v>74</v>
      </c>
      <c r="C23" s="594" t="s">
        <v>93</v>
      </c>
      <c r="D23" s="594"/>
      <c r="E23" s="39">
        <v>50.98</v>
      </c>
      <c r="F23" s="162">
        <v>1971</v>
      </c>
      <c r="G23" s="157">
        <f t="shared" si="19"/>
        <v>100481.57999999999</v>
      </c>
      <c r="H23" s="48" t="s">
        <v>126</v>
      </c>
      <c r="I23" s="160">
        <v>16</v>
      </c>
      <c r="J23" s="43">
        <v>2000</v>
      </c>
      <c r="K23" s="18">
        <f t="shared" si="1"/>
        <v>125</v>
      </c>
      <c r="L23" s="160">
        <v>16</v>
      </c>
      <c r="M23" s="19">
        <f t="shared" si="20"/>
        <v>1907.4193548387116</v>
      </c>
      <c r="N23" s="18">
        <f t="shared" si="3"/>
        <v>119.21370967741947</v>
      </c>
      <c r="O23" s="20">
        <f t="shared" si="4"/>
        <v>0</v>
      </c>
      <c r="P23" s="21">
        <f t="shared" si="5"/>
        <v>-5.7862903225805269</v>
      </c>
      <c r="Q23" s="158">
        <f t="shared" si="6"/>
        <v>0.95370967741935575</v>
      </c>
      <c r="R23" s="573"/>
      <c r="S23" s="49">
        <v>0.74722222222222223</v>
      </c>
      <c r="T23" s="49">
        <v>0.79027777777777775</v>
      </c>
      <c r="U23" s="157">
        <f t="shared" si="22"/>
        <v>4.9999999999999822</v>
      </c>
      <c r="V23" s="161">
        <f t="shared" si="21"/>
        <v>61.999999999999943</v>
      </c>
      <c r="W23" s="25"/>
      <c r="X23" s="30"/>
      <c r="Y23" s="30"/>
      <c r="Z23" s="30"/>
      <c r="AA23" s="575"/>
      <c r="AB23" s="575"/>
      <c r="AC23" s="50"/>
      <c r="AD23" s="27"/>
      <c r="AE23" s="20">
        <f t="shared" si="8"/>
        <v>-92.58064516128843</v>
      </c>
      <c r="AF23" s="158">
        <f t="shared" si="9"/>
        <v>0.95370967741935575</v>
      </c>
      <c r="AG23" s="573"/>
    </row>
    <row r="24" spans="1:33" ht="15.75" customHeight="1">
      <c r="A24" s="597" t="s">
        <v>54</v>
      </c>
      <c r="B24" s="39" t="s">
        <v>711</v>
      </c>
      <c r="C24" s="576"/>
      <c r="D24" s="576"/>
      <c r="E24" s="159"/>
      <c r="F24" s="162"/>
      <c r="G24" s="157"/>
      <c r="H24" s="162"/>
      <c r="I24" s="32">
        <v>15.833333333333334</v>
      </c>
      <c r="J24" s="43">
        <v>1916.6666666666667</v>
      </c>
      <c r="K24" s="18">
        <f t="shared" si="1"/>
        <v>121.05263157894737</v>
      </c>
      <c r="L24" s="32">
        <v>15.833333333333334</v>
      </c>
      <c r="M24" s="19">
        <f>AVERAGE(M18:M23)</f>
        <v>1842.2104551453331</v>
      </c>
      <c r="N24" s="18">
        <f t="shared" si="3"/>
        <v>116.35013400917893</v>
      </c>
      <c r="O24" s="20">
        <f t="shared" si="4"/>
        <v>0</v>
      </c>
      <c r="P24" s="21">
        <f t="shared" si="5"/>
        <v>-4.7024975697684397</v>
      </c>
      <c r="Q24" s="158">
        <f t="shared" si="6"/>
        <v>0.9611532809453911</v>
      </c>
      <c r="R24" s="573"/>
      <c r="S24" s="49"/>
      <c r="T24" s="49"/>
      <c r="U24" s="18"/>
      <c r="V24" s="161"/>
      <c r="W24" s="18"/>
      <c r="X24" s="18"/>
      <c r="Y24" s="33">
        <f>SUM(Y18:Y23)</f>
        <v>0</v>
      </c>
      <c r="Z24" s="33">
        <f>SUM(Z18:Z23)</f>
        <v>0</v>
      </c>
      <c r="AA24" s="572"/>
      <c r="AB24" s="572"/>
      <c r="AC24" s="33">
        <f>SUM(AC18:AC23)</f>
        <v>6</v>
      </c>
      <c r="AD24" s="33">
        <f>SUM(AD18:AD23)</f>
        <v>0</v>
      </c>
      <c r="AE24" s="20">
        <f t="shared" si="8"/>
        <v>-74.456211521333671</v>
      </c>
      <c r="AF24" s="158">
        <f t="shared" si="9"/>
        <v>0.9611532809453911</v>
      </c>
      <c r="AG24" s="573"/>
    </row>
    <row r="25" spans="1:33" ht="15.75" customHeight="1">
      <c r="A25" s="595" t="s">
        <v>716</v>
      </c>
      <c r="B25" s="39" t="s">
        <v>94</v>
      </c>
      <c r="C25" s="594" t="s">
        <v>95</v>
      </c>
      <c r="D25" s="594"/>
      <c r="E25" s="39">
        <v>31.29</v>
      </c>
      <c r="F25" s="162">
        <v>6000</v>
      </c>
      <c r="G25" s="157">
        <f t="shared" ref="G25:G31" si="23">E25*F25</f>
        <v>187740</v>
      </c>
      <c r="H25" s="48">
        <v>2</v>
      </c>
      <c r="I25" s="160">
        <v>18</v>
      </c>
      <c r="J25" s="43">
        <v>2400</v>
      </c>
      <c r="K25" s="18">
        <f t="shared" si="1"/>
        <v>133.33333333333334</v>
      </c>
      <c r="L25" s="160">
        <v>18</v>
      </c>
      <c r="M25" s="19">
        <f t="shared" ref="M25:M31" si="24">F25/V25*60</f>
        <v>2292.993630573249</v>
      </c>
      <c r="N25" s="18">
        <f t="shared" si="3"/>
        <v>127.38853503184717</v>
      </c>
      <c r="O25" s="20">
        <f t="shared" si="4"/>
        <v>0</v>
      </c>
      <c r="P25" s="21">
        <f t="shared" si="5"/>
        <v>-5.9447983014861734</v>
      </c>
      <c r="Q25" s="158">
        <f t="shared" si="6"/>
        <v>0.95541401273885374</v>
      </c>
      <c r="R25" s="573">
        <f>Q32</f>
        <v>0.95595202800683721</v>
      </c>
      <c r="S25" s="49">
        <v>8.3333333333333329E-2</v>
      </c>
      <c r="T25" s="49">
        <v>0.19236111111111109</v>
      </c>
      <c r="U25" s="157"/>
      <c r="V25" s="161">
        <f t="shared" ref="V25:V31" si="25">(T25-S25)*24*60</f>
        <v>156.99999999999997</v>
      </c>
      <c r="W25" s="25">
        <f>T25</f>
        <v>0.19236111111111109</v>
      </c>
      <c r="X25" s="25">
        <f>S26</f>
        <v>0.21249999999999999</v>
      </c>
      <c r="Y25" s="25"/>
      <c r="Z25" s="25"/>
      <c r="AA25" s="575"/>
      <c r="AB25" s="575"/>
      <c r="AC25" s="50">
        <v>7</v>
      </c>
      <c r="AD25" s="27"/>
      <c r="AE25" s="20">
        <f t="shared" si="8"/>
        <v>-107.00636942675101</v>
      </c>
      <c r="AF25" s="158">
        <f t="shared" si="9"/>
        <v>0.95541401273885374</v>
      </c>
      <c r="AG25" s="573">
        <f>AF32</f>
        <v>0.95595202800683732</v>
      </c>
    </row>
    <row r="26" spans="1:33" ht="15.75" customHeight="1">
      <c r="A26" s="595" t="s">
        <v>716</v>
      </c>
      <c r="B26" s="39" t="s">
        <v>94</v>
      </c>
      <c r="C26" s="594" t="s">
        <v>97</v>
      </c>
      <c r="D26" s="594"/>
      <c r="E26" s="39">
        <v>26.37</v>
      </c>
      <c r="F26" s="162">
        <v>4800</v>
      </c>
      <c r="G26" s="157">
        <f t="shared" si="23"/>
        <v>126576</v>
      </c>
      <c r="H26" s="48">
        <v>2</v>
      </c>
      <c r="I26" s="160">
        <v>19</v>
      </c>
      <c r="J26" s="43">
        <v>2400</v>
      </c>
      <c r="K26" s="18">
        <f t="shared" si="1"/>
        <v>126.31578947368421</v>
      </c>
      <c r="L26" s="160">
        <v>19</v>
      </c>
      <c r="M26" s="19">
        <f t="shared" si="24"/>
        <v>2285.7142857142862</v>
      </c>
      <c r="N26" s="18">
        <f t="shared" si="3"/>
        <v>120.30075187969928</v>
      </c>
      <c r="O26" s="20">
        <f t="shared" si="4"/>
        <v>0</v>
      </c>
      <c r="P26" s="21">
        <f t="shared" si="5"/>
        <v>-6.0150375939849283</v>
      </c>
      <c r="Q26" s="158">
        <f t="shared" si="6"/>
        <v>0.95238095238095266</v>
      </c>
      <c r="R26" s="573"/>
      <c r="S26" s="49">
        <v>0.21249999999999999</v>
      </c>
      <c r="T26" s="49">
        <v>0.3</v>
      </c>
      <c r="U26" s="157">
        <f t="shared" ref="U26:U31" si="26">(S26-T25)*24*60</f>
        <v>29.000000000000018</v>
      </c>
      <c r="V26" s="161">
        <f t="shared" si="25"/>
        <v>125.99999999999997</v>
      </c>
      <c r="W26" s="25"/>
      <c r="X26" s="25"/>
      <c r="Y26" s="25"/>
      <c r="Z26" s="25"/>
      <c r="AA26" s="575"/>
      <c r="AB26" s="575"/>
      <c r="AC26" s="50"/>
      <c r="AD26" s="27"/>
      <c r="AE26" s="20">
        <f t="shared" si="8"/>
        <v>-114.28571428571377</v>
      </c>
      <c r="AF26" s="158">
        <f t="shared" si="9"/>
        <v>0.95238095238095255</v>
      </c>
      <c r="AG26" s="573"/>
    </row>
    <row r="27" spans="1:33" ht="15.75" customHeight="1">
      <c r="A27" s="595" t="s">
        <v>716</v>
      </c>
      <c r="B27" s="39" t="s">
        <v>94</v>
      </c>
      <c r="C27" s="594" t="s">
        <v>98</v>
      </c>
      <c r="D27" s="594"/>
      <c r="E27" s="39">
        <v>25.99</v>
      </c>
      <c r="F27" s="162">
        <v>2600</v>
      </c>
      <c r="G27" s="157">
        <f t="shared" si="23"/>
        <v>67574</v>
      </c>
      <c r="H27" s="48">
        <v>2</v>
      </c>
      <c r="I27" s="160">
        <v>14</v>
      </c>
      <c r="J27" s="43">
        <v>2400</v>
      </c>
      <c r="K27" s="18">
        <f t="shared" si="1"/>
        <v>171.42857142857142</v>
      </c>
      <c r="L27" s="160">
        <v>14</v>
      </c>
      <c r="M27" s="19">
        <f t="shared" si="24"/>
        <v>2294.1176470588234</v>
      </c>
      <c r="N27" s="18">
        <f t="shared" si="3"/>
        <v>163.8655462184874</v>
      </c>
      <c r="O27" s="20">
        <f t="shared" si="4"/>
        <v>0</v>
      </c>
      <c r="P27" s="21">
        <f t="shared" si="5"/>
        <v>-7.563025210084021</v>
      </c>
      <c r="Q27" s="158">
        <f t="shared" si="6"/>
        <v>0.95588235294117652</v>
      </c>
      <c r="R27" s="573"/>
      <c r="S27" s="49">
        <v>0.30555555555555552</v>
      </c>
      <c r="T27" s="49">
        <v>0.35277777777777775</v>
      </c>
      <c r="U27" s="157">
        <f t="shared" si="26"/>
        <v>7.9999999999999716</v>
      </c>
      <c r="V27" s="161">
        <f t="shared" si="25"/>
        <v>68</v>
      </c>
      <c r="W27" s="25"/>
      <c r="X27" s="25"/>
      <c r="Y27" s="25"/>
      <c r="Z27" s="25"/>
      <c r="AA27" s="575"/>
      <c r="AB27" s="575"/>
      <c r="AC27" s="50"/>
      <c r="AD27" s="27"/>
      <c r="AE27" s="20">
        <f t="shared" si="8"/>
        <v>-105.88235294117658</v>
      </c>
      <c r="AF27" s="158">
        <f t="shared" si="9"/>
        <v>0.95588235294117641</v>
      </c>
      <c r="AG27" s="573"/>
    </row>
    <row r="28" spans="1:33" ht="15.75" customHeight="1">
      <c r="A28" s="595" t="s">
        <v>716</v>
      </c>
      <c r="B28" s="39" t="s">
        <v>94</v>
      </c>
      <c r="C28" s="594" t="s">
        <v>529</v>
      </c>
      <c r="D28" s="594"/>
      <c r="E28" s="39">
        <v>26.18</v>
      </c>
      <c r="F28" s="162">
        <v>7048</v>
      </c>
      <c r="G28" s="157">
        <f t="shared" si="23"/>
        <v>184516.63999999998</v>
      </c>
      <c r="H28" s="48" t="s">
        <v>126</v>
      </c>
      <c r="I28" s="160">
        <v>19</v>
      </c>
      <c r="J28" s="43">
        <v>2400</v>
      </c>
      <c r="K28" s="18">
        <f t="shared" si="1"/>
        <v>126.31578947368421</v>
      </c>
      <c r="L28" s="160">
        <v>19</v>
      </c>
      <c r="M28" s="19">
        <f t="shared" si="24"/>
        <v>2285.8378378378384</v>
      </c>
      <c r="N28" s="18">
        <f t="shared" si="3"/>
        <v>120.30725462304413</v>
      </c>
      <c r="O28" s="20">
        <f t="shared" si="4"/>
        <v>0</v>
      </c>
      <c r="P28" s="21">
        <f t="shared" si="5"/>
        <v>-6.0085348506400749</v>
      </c>
      <c r="Q28" s="158">
        <f t="shared" si="6"/>
        <v>0.9524324324324327</v>
      </c>
      <c r="R28" s="573"/>
      <c r="S28" s="49">
        <v>0.35624999999999996</v>
      </c>
      <c r="T28" s="49">
        <v>0.48472222222222217</v>
      </c>
      <c r="U28" s="157">
        <f t="shared" si="26"/>
        <v>4.9999999999999822</v>
      </c>
      <c r="V28" s="161">
        <f t="shared" si="25"/>
        <v>184.99999999999997</v>
      </c>
      <c r="W28" s="25">
        <f>T28</f>
        <v>0.48472222222222217</v>
      </c>
      <c r="X28" s="25">
        <f>S29</f>
        <v>0.52361111111111103</v>
      </c>
      <c r="Y28" s="25"/>
      <c r="Z28" s="25"/>
      <c r="AA28" s="575"/>
      <c r="AB28" s="575"/>
      <c r="AC28" s="50"/>
      <c r="AD28" s="27"/>
      <c r="AE28" s="20">
        <f t="shared" si="8"/>
        <v>-114.16216216216162</v>
      </c>
      <c r="AF28" s="158">
        <f t="shared" si="9"/>
        <v>0.9524324324324327</v>
      </c>
      <c r="AG28" s="573"/>
    </row>
    <row r="29" spans="1:33" ht="15.75" customHeight="1">
      <c r="A29" s="595" t="s">
        <v>716</v>
      </c>
      <c r="B29" s="39" t="s">
        <v>94</v>
      </c>
      <c r="C29" s="594" t="s">
        <v>95</v>
      </c>
      <c r="D29" s="594"/>
      <c r="E29" s="39">
        <v>31.29</v>
      </c>
      <c r="F29" s="162">
        <v>4020</v>
      </c>
      <c r="G29" s="157">
        <f t="shared" si="23"/>
        <v>125785.8</v>
      </c>
      <c r="H29" s="48" t="s">
        <v>126</v>
      </c>
      <c r="I29" s="160">
        <v>18</v>
      </c>
      <c r="J29" s="43">
        <v>2400</v>
      </c>
      <c r="K29" s="18">
        <f t="shared" si="1"/>
        <v>133.33333333333334</v>
      </c>
      <c r="L29" s="160">
        <v>18</v>
      </c>
      <c r="M29" s="19">
        <f t="shared" si="24"/>
        <v>2297.1428571428582</v>
      </c>
      <c r="N29" s="18">
        <f t="shared" si="3"/>
        <v>127.61904761904768</v>
      </c>
      <c r="O29" s="20">
        <f t="shared" si="4"/>
        <v>0</v>
      </c>
      <c r="P29" s="21">
        <f t="shared" si="5"/>
        <v>-5.7142857142856656</v>
      </c>
      <c r="Q29" s="158">
        <f t="shared" si="6"/>
        <v>0.95714285714285752</v>
      </c>
      <c r="R29" s="573"/>
      <c r="S29" s="49">
        <v>0.52361111111111103</v>
      </c>
      <c r="T29" s="49">
        <v>0.59652777777777766</v>
      </c>
      <c r="U29" s="157">
        <f t="shared" si="26"/>
        <v>55.999999999999957</v>
      </c>
      <c r="V29" s="161">
        <f t="shared" si="25"/>
        <v>104.99999999999994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-102.85714285714175</v>
      </c>
      <c r="AF29" s="158">
        <f t="shared" si="9"/>
        <v>0.95714285714285763</v>
      </c>
      <c r="AG29" s="573"/>
    </row>
    <row r="30" spans="1:33" ht="15.75" customHeight="1">
      <c r="A30" s="595" t="s">
        <v>716</v>
      </c>
      <c r="B30" s="39" t="s">
        <v>94</v>
      </c>
      <c r="C30" s="594" t="s">
        <v>97</v>
      </c>
      <c r="D30" s="594"/>
      <c r="E30" s="39">
        <v>26.37</v>
      </c>
      <c r="F30" s="162">
        <v>3482</v>
      </c>
      <c r="G30" s="157">
        <f t="shared" si="23"/>
        <v>91820.34</v>
      </c>
      <c r="H30" s="48" t="s">
        <v>126</v>
      </c>
      <c r="I30" s="160">
        <v>19</v>
      </c>
      <c r="J30" s="43">
        <v>2400</v>
      </c>
      <c r="K30" s="18">
        <f t="shared" si="1"/>
        <v>126.31578947368421</v>
      </c>
      <c r="L30" s="160">
        <v>19</v>
      </c>
      <c r="M30" s="19">
        <f t="shared" si="24"/>
        <v>2295.8241758241757</v>
      </c>
      <c r="N30" s="18">
        <f t="shared" si="3"/>
        <v>120.83285135916714</v>
      </c>
      <c r="O30" s="20">
        <f t="shared" si="4"/>
        <v>0</v>
      </c>
      <c r="P30" s="21">
        <f t="shared" si="5"/>
        <v>-5.4829381145170686</v>
      </c>
      <c r="Q30" s="158">
        <f t="shared" si="6"/>
        <v>0.95659340659340653</v>
      </c>
      <c r="R30" s="573"/>
      <c r="S30" s="49">
        <v>0.59999999999999987</v>
      </c>
      <c r="T30" s="49">
        <v>0.66319444444444431</v>
      </c>
      <c r="U30" s="157">
        <f t="shared" si="26"/>
        <v>4.9999999999999822</v>
      </c>
      <c r="V30" s="161">
        <f t="shared" si="25"/>
        <v>91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-104.17582417582435</v>
      </c>
      <c r="AF30" s="158">
        <f t="shared" si="9"/>
        <v>0.95659340659340653</v>
      </c>
      <c r="AG30" s="573"/>
    </row>
    <row r="31" spans="1:33" ht="15.75" customHeight="1">
      <c r="A31" s="595" t="s">
        <v>716</v>
      </c>
      <c r="B31" s="39" t="s">
        <v>94</v>
      </c>
      <c r="C31" s="594" t="s">
        <v>98</v>
      </c>
      <c r="D31" s="594"/>
      <c r="E31" s="39">
        <v>25.99</v>
      </c>
      <c r="F31" s="162">
        <v>2116</v>
      </c>
      <c r="G31" s="157">
        <f t="shared" si="23"/>
        <v>54994.84</v>
      </c>
      <c r="H31" s="48" t="s">
        <v>126</v>
      </c>
      <c r="I31" s="160">
        <v>14</v>
      </c>
      <c r="J31" s="43">
        <v>2400</v>
      </c>
      <c r="K31" s="18">
        <f t="shared" si="1"/>
        <v>171.42857142857142</v>
      </c>
      <c r="L31" s="160">
        <v>14</v>
      </c>
      <c r="M31" s="19">
        <f t="shared" si="24"/>
        <v>2308.3636363636379</v>
      </c>
      <c r="N31" s="18">
        <f t="shared" si="3"/>
        <v>164.883116883117</v>
      </c>
      <c r="O31" s="20">
        <f t="shared" si="4"/>
        <v>0</v>
      </c>
      <c r="P31" s="21">
        <f t="shared" si="5"/>
        <v>-6.5454545454544188</v>
      </c>
      <c r="Q31" s="158">
        <f t="shared" si="6"/>
        <v>0.96181818181818257</v>
      </c>
      <c r="R31" s="573"/>
      <c r="S31" s="49">
        <v>0.66666666666666652</v>
      </c>
      <c r="T31" s="49">
        <v>0.70486111111111094</v>
      </c>
      <c r="U31" s="157">
        <f t="shared" si="26"/>
        <v>4.9999999999999822</v>
      </c>
      <c r="V31" s="161">
        <f t="shared" si="25"/>
        <v>54.999999999999964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-91.636363636362148</v>
      </c>
      <c r="AF31" s="158">
        <f t="shared" si="9"/>
        <v>0.96181818181818246</v>
      </c>
      <c r="AG31" s="573"/>
    </row>
    <row r="32" spans="1:33" ht="15.75" customHeight="1">
      <c r="A32" s="595" t="s">
        <v>716</v>
      </c>
      <c r="B32" s="39" t="s">
        <v>711</v>
      </c>
      <c r="C32" s="576"/>
      <c r="D32" s="576"/>
      <c r="E32" s="159"/>
      <c r="F32" s="162"/>
      <c r="G32" s="157"/>
      <c r="H32" s="162"/>
      <c r="I32" s="32">
        <v>17.285714285714285</v>
      </c>
      <c r="J32" s="43">
        <v>2400</v>
      </c>
      <c r="K32" s="18">
        <f t="shared" si="1"/>
        <v>138.84297520661158</v>
      </c>
      <c r="L32" s="32">
        <v>17.285714285714285</v>
      </c>
      <c r="M32" s="19">
        <f>AVERAGE(M25:M31)</f>
        <v>2294.2848672164096</v>
      </c>
      <c r="N32" s="18">
        <f t="shared" si="3"/>
        <v>132.72722372326336</v>
      </c>
      <c r="O32" s="20">
        <f t="shared" si="4"/>
        <v>0</v>
      </c>
      <c r="P32" s="21">
        <f t="shared" si="5"/>
        <v>-6.1157514833482196</v>
      </c>
      <c r="Q32" s="158">
        <f t="shared" si="6"/>
        <v>0.95595202800683721</v>
      </c>
      <c r="R32" s="573"/>
      <c r="S32" s="49"/>
      <c r="T32" s="49"/>
      <c r="U32" s="157"/>
      <c r="V32" s="161"/>
      <c r="W32" s="157"/>
      <c r="X32" s="157"/>
      <c r="Y32" s="33">
        <f>SUM(Y25:Y31)</f>
        <v>0</v>
      </c>
      <c r="Z32" s="33">
        <f>SUM(Z25:Z31)</f>
        <v>0</v>
      </c>
      <c r="AA32" s="572"/>
      <c r="AB32" s="572"/>
      <c r="AC32" s="33">
        <f>SUM(AC25:AC31)</f>
        <v>7</v>
      </c>
      <c r="AD32" s="33">
        <f>SUM(AD25:AD31)</f>
        <v>0</v>
      </c>
      <c r="AE32" s="20">
        <f t="shared" si="8"/>
        <v>-105.71513278359043</v>
      </c>
      <c r="AF32" s="158">
        <f t="shared" si="9"/>
        <v>0.95595202800683732</v>
      </c>
      <c r="AG32" s="573"/>
    </row>
    <row r="33" spans="1:33" ht="15.75" customHeight="1">
      <c r="A33" s="592" t="s">
        <v>60</v>
      </c>
      <c r="B33" s="39" t="s">
        <v>94</v>
      </c>
      <c r="C33" s="574" t="s">
        <v>530</v>
      </c>
      <c r="D33" s="574"/>
      <c r="E33" s="39">
        <v>26.18</v>
      </c>
      <c r="F33" s="162">
        <v>4000</v>
      </c>
      <c r="G33" s="157">
        <f t="shared" ref="G33:G39" si="27">E33*F33</f>
        <v>104720</v>
      </c>
      <c r="H33" s="48">
        <v>2</v>
      </c>
      <c r="I33" s="160">
        <v>21</v>
      </c>
      <c r="J33" s="43">
        <v>2400</v>
      </c>
      <c r="K33" s="18">
        <f t="shared" si="1"/>
        <v>114.28571428571429</v>
      </c>
      <c r="L33" s="160">
        <v>21</v>
      </c>
      <c r="M33" s="19">
        <f t="shared" ref="M33:M39" si="28">F33/V33*60</f>
        <v>2285.7142857142858</v>
      </c>
      <c r="N33" s="18">
        <f t="shared" si="3"/>
        <v>108.84353741496599</v>
      </c>
      <c r="O33" s="20">
        <f t="shared" si="4"/>
        <v>0</v>
      </c>
      <c r="P33" s="21">
        <f t="shared" si="5"/>
        <v>-5.4421768707482983</v>
      </c>
      <c r="Q33" s="158">
        <f t="shared" si="6"/>
        <v>0.95238095238095244</v>
      </c>
      <c r="R33" s="573">
        <f>Q40</f>
        <v>0.95628544827569029</v>
      </c>
      <c r="S33" s="49">
        <v>8.3333333333333329E-2</v>
      </c>
      <c r="T33" s="49">
        <v>0.15625</v>
      </c>
      <c r="U33" s="157"/>
      <c r="V33" s="161">
        <f t="shared" ref="V33:V39" si="29">(T33-S33)*24*60</f>
        <v>105</v>
      </c>
      <c r="W33" s="30">
        <f>T33</f>
        <v>0.15625</v>
      </c>
      <c r="X33" s="30">
        <f>S34</f>
        <v>0.1763888888888889</v>
      </c>
      <c r="Y33" s="30"/>
      <c r="Z33" s="30"/>
      <c r="AA33" s="575"/>
      <c r="AB33" s="575"/>
      <c r="AC33" s="50">
        <v>7</v>
      </c>
      <c r="AD33" s="27"/>
      <c r="AE33" s="20">
        <f t="shared" si="8"/>
        <v>-114.28571428571422</v>
      </c>
      <c r="AF33" s="158">
        <f t="shared" si="9"/>
        <v>0.95238095238095244</v>
      </c>
      <c r="AG33" s="573">
        <f>AF40</f>
        <v>0.95628544827569029</v>
      </c>
    </row>
    <row r="34" spans="1:33" ht="15.75" customHeight="1">
      <c r="A34" s="592" t="s">
        <v>60</v>
      </c>
      <c r="B34" s="39" t="s">
        <v>94</v>
      </c>
      <c r="C34" s="574" t="s">
        <v>100</v>
      </c>
      <c r="D34" s="574"/>
      <c r="E34" s="39">
        <v>24.43</v>
      </c>
      <c r="F34" s="162">
        <v>4200</v>
      </c>
      <c r="G34" s="157">
        <f t="shared" si="27"/>
        <v>102606</v>
      </c>
      <c r="H34" s="48">
        <v>2</v>
      </c>
      <c r="I34" s="160">
        <v>14</v>
      </c>
      <c r="J34" s="43">
        <v>2400</v>
      </c>
      <c r="K34" s="18">
        <f t="shared" si="1"/>
        <v>171.42857142857142</v>
      </c>
      <c r="L34" s="160">
        <v>14</v>
      </c>
      <c r="M34" s="19">
        <f t="shared" si="28"/>
        <v>2290.9090909090914</v>
      </c>
      <c r="N34" s="18">
        <f t="shared" si="3"/>
        <v>163.63636363636368</v>
      </c>
      <c r="O34" s="20">
        <f t="shared" si="4"/>
        <v>0</v>
      </c>
      <c r="P34" s="21">
        <f t="shared" si="5"/>
        <v>-7.7922077922077335</v>
      </c>
      <c r="Q34" s="158">
        <f t="shared" si="6"/>
        <v>0.95454545454545492</v>
      </c>
      <c r="R34" s="573"/>
      <c r="S34" s="49">
        <v>0.1763888888888889</v>
      </c>
      <c r="T34" s="49">
        <v>0.25277777777777777</v>
      </c>
      <c r="U34" s="157">
        <f t="shared" ref="U34:U39" si="30">(S34-T33)*24*60</f>
        <v>29.000000000000018</v>
      </c>
      <c r="V34" s="161">
        <f t="shared" si="29"/>
        <v>109.99999999999997</v>
      </c>
      <c r="W34" s="157"/>
      <c r="X34" s="157"/>
      <c r="Y34" s="157"/>
      <c r="Z34" s="157"/>
      <c r="AA34" s="575"/>
      <c r="AB34" s="575"/>
      <c r="AC34" s="50"/>
      <c r="AD34" s="27"/>
      <c r="AE34" s="20">
        <f t="shared" si="8"/>
        <v>-109.09090909090855</v>
      </c>
      <c r="AF34" s="158">
        <f t="shared" si="9"/>
        <v>0.95454545454545481</v>
      </c>
      <c r="AG34" s="573"/>
    </row>
    <row r="35" spans="1:33">
      <c r="A35" s="593" t="s">
        <v>60</v>
      </c>
      <c r="B35" s="39" t="s">
        <v>94</v>
      </c>
      <c r="C35" s="574" t="s">
        <v>103</v>
      </c>
      <c r="D35" s="574"/>
      <c r="E35" s="39">
        <v>20.2</v>
      </c>
      <c r="F35" s="162">
        <v>2258</v>
      </c>
      <c r="G35" s="157">
        <f t="shared" si="27"/>
        <v>45611.6</v>
      </c>
      <c r="H35" s="48" t="s">
        <v>126</v>
      </c>
      <c r="I35" s="160">
        <v>15</v>
      </c>
      <c r="J35" s="43">
        <v>2400</v>
      </c>
      <c r="K35" s="18">
        <f t="shared" si="1"/>
        <v>160</v>
      </c>
      <c r="L35" s="160">
        <v>15</v>
      </c>
      <c r="M35" s="19">
        <f t="shared" si="28"/>
        <v>2296.271186440677</v>
      </c>
      <c r="N35" s="18">
        <f t="shared" si="3"/>
        <v>153.0847457627118</v>
      </c>
      <c r="O35" s="20">
        <f t="shared" si="4"/>
        <v>0</v>
      </c>
      <c r="P35" s="21">
        <f t="shared" si="5"/>
        <v>-6.9152542372881953</v>
      </c>
      <c r="Q35" s="158">
        <f t="shared" si="6"/>
        <v>0.95677966101694878</v>
      </c>
      <c r="R35" s="573"/>
      <c r="S35" s="49">
        <v>0.25694444444444442</v>
      </c>
      <c r="T35" s="49">
        <v>0.29791666666666666</v>
      </c>
      <c r="U35" s="157">
        <f t="shared" si="30"/>
        <v>5.9999999999999787</v>
      </c>
      <c r="V35" s="161">
        <f t="shared" si="29"/>
        <v>59.000000000000028</v>
      </c>
      <c r="W35" s="157"/>
      <c r="X35" s="157"/>
      <c r="Y35" s="157"/>
      <c r="Z35" s="157"/>
      <c r="AA35" s="575"/>
      <c r="AB35" s="575"/>
      <c r="AC35" s="50"/>
      <c r="AD35" s="27"/>
      <c r="AE35" s="20">
        <f t="shared" si="8"/>
        <v>-103.72881355932304</v>
      </c>
      <c r="AF35" s="158">
        <f t="shared" si="9"/>
        <v>0.95677966101694878</v>
      </c>
      <c r="AG35" s="573"/>
    </row>
    <row r="36" spans="1:33">
      <c r="A36" s="593" t="s">
        <v>60</v>
      </c>
      <c r="B36" s="39" t="s">
        <v>94</v>
      </c>
      <c r="C36" s="574" t="s">
        <v>102</v>
      </c>
      <c r="D36" s="574"/>
      <c r="E36" s="39">
        <v>34.1</v>
      </c>
      <c r="F36" s="162">
        <v>4800</v>
      </c>
      <c r="G36" s="157">
        <f t="shared" si="27"/>
        <v>163680</v>
      </c>
      <c r="H36" s="48">
        <v>2</v>
      </c>
      <c r="I36" s="160">
        <v>17</v>
      </c>
      <c r="J36" s="43">
        <v>1600</v>
      </c>
      <c r="K36" s="18">
        <f t="shared" si="1"/>
        <v>94.117647058823536</v>
      </c>
      <c r="L36" s="160">
        <v>17</v>
      </c>
      <c r="M36" s="19">
        <f t="shared" si="28"/>
        <v>1523.8095238095234</v>
      </c>
      <c r="N36" s="18">
        <f t="shared" si="3"/>
        <v>89.635854341736675</v>
      </c>
      <c r="O36" s="20">
        <f t="shared" si="4"/>
        <v>0</v>
      </c>
      <c r="P36" s="21">
        <f t="shared" si="5"/>
        <v>-4.4817927170868614</v>
      </c>
      <c r="Q36" s="158">
        <f t="shared" si="6"/>
        <v>0.95238095238095211</v>
      </c>
      <c r="R36" s="573"/>
      <c r="S36" s="49">
        <v>0.3034722222222222</v>
      </c>
      <c r="T36" s="49">
        <v>0.43472222222222223</v>
      </c>
      <c r="U36" s="157">
        <f t="shared" si="30"/>
        <v>7.9999999999999716</v>
      </c>
      <c r="V36" s="161">
        <f t="shared" si="29"/>
        <v>189.00000000000006</v>
      </c>
      <c r="W36" s="25"/>
      <c r="X36" s="25"/>
      <c r="Y36" s="25"/>
      <c r="Z36" s="25"/>
      <c r="AA36" s="575"/>
      <c r="AB36" s="575"/>
      <c r="AC36" s="50"/>
      <c r="AD36" s="27"/>
      <c r="AE36" s="20">
        <f t="shared" si="8"/>
        <v>-76.190476190476602</v>
      </c>
      <c r="AF36" s="158">
        <f t="shared" si="9"/>
        <v>0.95238095238095211</v>
      </c>
      <c r="AG36" s="573"/>
    </row>
    <row r="37" spans="1:33">
      <c r="A37" s="593" t="s">
        <v>60</v>
      </c>
      <c r="B37" s="39" t="s">
        <v>94</v>
      </c>
      <c r="C37" s="574" t="s">
        <v>122</v>
      </c>
      <c r="D37" s="574"/>
      <c r="E37" s="39">
        <v>20.52</v>
      </c>
      <c r="F37" s="162">
        <v>2969</v>
      </c>
      <c r="G37" s="157">
        <f t="shared" si="27"/>
        <v>60923.88</v>
      </c>
      <c r="H37" s="48" t="s">
        <v>126</v>
      </c>
      <c r="I37" s="160">
        <v>18</v>
      </c>
      <c r="J37" s="43">
        <v>2400</v>
      </c>
      <c r="K37" s="18">
        <f t="shared" si="1"/>
        <v>133.33333333333334</v>
      </c>
      <c r="L37" s="160">
        <v>18</v>
      </c>
      <c r="M37" s="19">
        <f t="shared" si="28"/>
        <v>2313.506493506492</v>
      </c>
      <c r="N37" s="18">
        <f t="shared" si="3"/>
        <v>128.52813852813844</v>
      </c>
      <c r="O37" s="20">
        <f t="shared" si="4"/>
        <v>0</v>
      </c>
      <c r="P37" s="21">
        <f t="shared" si="5"/>
        <v>-4.8051948051949012</v>
      </c>
      <c r="Q37" s="158">
        <f t="shared" si="6"/>
        <v>0.96396103896103824</v>
      </c>
      <c r="R37" s="573"/>
      <c r="S37" s="49">
        <v>0.43958333333333333</v>
      </c>
      <c r="T37" s="49">
        <v>0.49305555555555558</v>
      </c>
      <c r="U37" s="157">
        <f t="shared" si="30"/>
        <v>6.9999999999999751</v>
      </c>
      <c r="V37" s="161">
        <f t="shared" si="29"/>
        <v>77.000000000000043</v>
      </c>
      <c r="W37" s="25">
        <f>T37</f>
        <v>0.49305555555555558</v>
      </c>
      <c r="X37" s="25">
        <f>S38</f>
        <v>0.53333333333333333</v>
      </c>
      <c r="Y37" s="25"/>
      <c r="Z37" s="25"/>
      <c r="AA37" s="575"/>
      <c r="AB37" s="575"/>
      <c r="AC37" s="50"/>
      <c r="AD37" s="27"/>
      <c r="AE37" s="20">
        <f t="shared" si="8"/>
        <v>-86.493506493507994</v>
      </c>
      <c r="AF37" s="158">
        <f t="shared" si="9"/>
        <v>0.96396103896103835</v>
      </c>
      <c r="AG37" s="573"/>
    </row>
    <row r="38" spans="1:33">
      <c r="A38" s="593" t="s">
        <v>60</v>
      </c>
      <c r="B38" s="39" t="s">
        <v>94</v>
      </c>
      <c r="C38" s="574" t="s">
        <v>530</v>
      </c>
      <c r="D38" s="574"/>
      <c r="E38" s="39">
        <v>26.18</v>
      </c>
      <c r="F38" s="162">
        <v>2952</v>
      </c>
      <c r="G38" s="157">
        <f t="shared" si="27"/>
        <v>77283.360000000001</v>
      </c>
      <c r="H38" s="48" t="s">
        <v>126</v>
      </c>
      <c r="I38" s="160">
        <v>21</v>
      </c>
      <c r="J38" s="43">
        <v>2400</v>
      </c>
      <c r="K38" s="18">
        <f t="shared" si="1"/>
        <v>114.28571428571429</v>
      </c>
      <c r="L38" s="160">
        <v>21</v>
      </c>
      <c r="M38" s="19">
        <f t="shared" si="28"/>
        <v>2300.2597402597389</v>
      </c>
      <c r="N38" s="18">
        <f t="shared" si="3"/>
        <v>109.53617810760662</v>
      </c>
      <c r="O38" s="20">
        <f t="shared" si="4"/>
        <v>0</v>
      </c>
      <c r="P38" s="21">
        <f t="shared" si="5"/>
        <v>-4.7495361781076753</v>
      </c>
      <c r="Q38" s="158">
        <f t="shared" si="6"/>
        <v>0.95844155844155787</v>
      </c>
      <c r="R38" s="573"/>
      <c r="S38" s="49">
        <v>0.53333333333333333</v>
      </c>
      <c r="T38" s="49">
        <v>0.58680555555555558</v>
      </c>
      <c r="U38" s="157">
        <f t="shared" si="30"/>
        <v>57.999999999999957</v>
      </c>
      <c r="V38" s="161">
        <f t="shared" si="29"/>
        <v>77.000000000000043</v>
      </c>
      <c r="W38" s="25"/>
      <c r="X38" s="25"/>
      <c r="Y38" s="25"/>
      <c r="Z38" s="25"/>
      <c r="AA38" s="575"/>
      <c r="AB38" s="575"/>
      <c r="AC38" s="50"/>
      <c r="AD38" s="27"/>
      <c r="AE38" s="20">
        <f t="shared" si="8"/>
        <v>-99.740259740261081</v>
      </c>
      <c r="AF38" s="158">
        <f t="shared" si="9"/>
        <v>0.95844155844155787</v>
      </c>
      <c r="AG38" s="573"/>
    </row>
    <row r="39" spans="1:33">
      <c r="A39" s="593" t="s">
        <v>60</v>
      </c>
      <c r="B39" s="39" t="s">
        <v>94</v>
      </c>
      <c r="C39" s="574" t="s">
        <v>102</v>
      </c>
      <c r="D39" s="574"/>
      <c r="E39" s="39">
        <v>34.1</v>
      </c>
      <c r="F39" s="162">
        <v>3711</v>
      </c>
      <c r="G39" s="157">
        <f t="shared" si="27"/>
        <v>126545.1</v>
      </c>
      <c r="H39" s="48" t="s">
        <v>126</v>
      </c>
      <c r="I39" s="160">
        <v>17</v>
      </c>
      <c r="J39" s="43">
        <v>1600</v>
      </c>
      <c r="K39" s="18">
        <f t="shared" si="1"/>
        <v>94.117647058823536</v>
      </c>
      <c r="L39" s="160">
        <v>17</v>
      </c>
      <c r="M39" s="19">
        <f t="shared" si="28"/>
        <v>1525.0684931506853</v>
      </c>
      <c r="N39" s="18">
        <f t="shared" si="3"/>
        <v>89.709911361805013</v>
      </c>
      <c r="O39" s="20">
        <f t="shared" si="4"/>
        <v>0</v>
      </c>
      <c r="P39" s="21">
        <f t="shared" si="5"/>
        <v>-4.4077356970185235</v>
      </c>
      <c r="Q39" s="158">
        <f t="shared" si="6"/>
        <v>0.95316780821917824</v>
      </c>
      <c r="R39" s="573"/>
      <c r="S39" s="49">
        <v>0.59166666666666667</v>
      </c>
      <c r="T39" s="49">
        <v>0.69305555555555554</v>
      </c>
      <c r="U39" s="157">
        <f t="shared" si="30"/>
        <v>6.9999999999999751</v>
      </c>
      <c r="V39" s="161">
        <f t="shared" si="29"/>
        <v>145.99999999999997</v>
      </c>
      <c r="W39" s="25"/>
      <c r="X39" s="25"/>
      <c r="Y39" s="28"/>
      <c r="Z39" s="28"/>
      <c r="AA39" s="568"/>
      <c r="AB39" s="569"/>
      <c r="AC39" s="50"/>
      <c r="AD39" s="27"/>
      <c r="AE39" s="20">
        <f t="shared" si="8"/>
        <v>-74.931506849314701</v>
      </c>
      <c r="AF39" s="158">
        <f t="shared" si="9"/>
        <v>0.95316780821917835</v>
      </c>
      <c r="AG39" s="573"/>
    </row>
    <row r="40" spans="1:33">
      <c r="A40" s="593" t="s">
        <v>60</v>
      </c>
      <c r="B40" s="42" t="s">
        <v>711</v>
      </c>
      <c r="C40" s="576"/>
      <c r="D40" s="576"/>
      <c r="E40" s="159"/>
      <c r="F40" s="42"/>
      <c r="G40" s="18"/>
      <c r="H40" s="162"/>
      <c r="I40" s="32">
        <v>17.571428571428573</v>
      </c>
      <c r="J40" s="43">
        <v>2171.4285714285716</v>
      </c>
      <c r="K40" s="18">
        <f t="shared" si="1"/>
        <v>123.57723577235772</v>
      </c>
      <c r="L40" s="32">
        <v>17.571428571428573</v>
      </c>
      <c r="M40" s="19">
        <f>AVERAGE(M33:M39)</f>
        <v>2076.5055448272133</v>
      </c>
      <c r="N40" s="18">
        <f t="shared" si="3"/>
        <v>118.17511230723977</v>
      </c>
      <c r="O40" s="20">
        <f t="shared" si="4"/>
        <v>0</v>
      </c>
      <c r="P40" s="21">
        <f t="shared" si="5"/>
        <v>-5.4021234651179526</v>
      </c>
      <c r="Q40" s="158">
        <f t="shared" si="6"/>
        <v>0.95628544827569029</v>
      </c>
      <c r="R40" s="573"/>
      <c r="S40" s="49"/>
      <c r="T40" s="49"/>
      <c r="U40" s="18"/>
      <c r="V40" s="161"/>
      <c r="W40" s="18"/>
      <c r="X40" s="18"/>
      <c r="Y40" s="33">
        <f>SUM(Y33:Y39)</f>
        <v>0</v>
      </c>
      <c r="Z40" s="33">
        <f>SUM(Z33:Z39)</f>
        <v>0</v>
      </c>
      <c r="AA40" s="572"/>
      <c r="AB40" s="572"/>
      <c r="AC40" s="33">
        <f>SUM(AC33:AC39)</f>
        <v>7</v>
      </c>
      <c r="AD40" s="33">
        <f>SUM(AD33:AD39)</f>
        <v>0</v>
      </c>
      <c r="AE40" s="20">
        <f t="shared" si="8"/>
        <v>-94.923026601358288</v>
      </c>
      <c r="AF40" s="158">
        <f t="shared" si="9"/>
        <v>0.95628544827569029</v>
      </c>
      <c r="AG40" s="573"/>
    </row>
    <row r="41" spans="1:33" ht="15.75" customHeight="1">
      <c r="A41" s="589" t="s">
        <v>717</v>
      </c>
      <c r="B41" s="39" t="s">
        <v>104</v>
      </c>
      <c r="C41" s="566" t="s">
        <v>105</v>
      </c>
      <c r="D41" s="567"/>
      <c r="E41" s="39">
        <v>37.880000000000003</v>
      </c>
      <c r="F41" s="162">
        <v>2992</v>
      </c>
      <c r="G41" s="157">
        <f t="shared" ref="G41:G44" si="31">E41*F41</f>
        <v>113336.96000000001</v>
      </c>
      <c r="H41" s="48" t="s">
        <v>126</v>
      </c>
      <c r="I41" s="160">
        <v>13</v>
      </c>
      <c r="J41" s="43">
        <v>2000</v>
      </c>
      <c r="K41" s="18">
        <f t="shared" si="1"/>
        <v>153.84615384615384</v>
      </c>
      <c r="L41" s="160">
        <v>13</v>
      </c>
      <c r="M41" s="19">
        <f t="shared" ref="M41:M44" si="32">F41/V41*60</f>
        <v>1909.7872340425529</v>
      </c>
      <c r="N41" s="19">
        <f t="shared" si="3"/>
        <v>146.90671031096559</v>
      </c>
      <c r="O41" s="20">
        <f t="shared" si="4"/>
        <v>0</v>
      </c>
      <c r="P41" s="21">
        <f t="shared" si="5"/>
        <v>-6.9394435351882464</v>
      </c>
      <c r="Q41" s="158">
        <f t="shared" si="6"/>
        <v>0.9548936170212764</v>
      </c>
      <c r="R41" s="584">
        <f>Q45</f>
        <v>0.95392582358539812</v>
      </c>
      <c r="S41" s="49">
        <v>8.3333333333333329E-2</v>
      </c>
      <c r="T41" s="49">
        <v>0.14861111111111111</v>
      </c>
      <c r="U41" s="30"/>
      <c r="V41" s="161">
        <f t="shared" ref="V41:V44" si="33">(T41-S41)*24*60</f>
        <v>94.000000000000014</v>
      </c>
      <c r="W41" s="25">
        <f>T41</f>
        <v>0.14861111111111111</v>
      </c>
      <c r="X41" s="25">
        <f>S42</f>
        <v>0.16944444444444445</v>
      </c>
      <c r="Y41" s="28"/>
      <c r="Z41" s="28"/>
      <c r="AA41" s="568"/>
      <c r="AB41" s="569"/>
      <c r="AC41" s="50">
        <v>4</v>
      </c>
      <c r="AD41" s="27"/>
      <c r="AE41" s="20">
        <f t="shared" si="8"/>
        <v>-90.212765957447118</v>
      </c>
      <c r="AF41" s="158">
        <f t="shared" si="9"/>
        <v>0.9548936170212764</v>
      </c>
      <c r="AG41" s="584">
        <f>AF45</f>
        <v>0.95392582358539812</v>
      </c>
    </row>
    <row r="42" spans="1:33" ht="15.75" customHeight="1">
      <c r="A42" s="590" t="s">
        <v>717</v>
      </c>
      <c r="B42" s="39" t="s">
        <v>104</v>
      </c>
      <c r="C42" s="566" t="s">
        <v>106</v>
      </c>
      <c r="D42" s="567"/>
      <c r="E42" s="39">
        <v>35.119999999999997</v>
      </c>
      <c r="F42" s="162">
        <v>5010</v>
      </c>
      <c r="G42" s="157">
        <f t="shared" si="31"/>
        <v>175951.19999999998</v>
      </c>
      <c r="H42" s="48" t="s">
        <v>126</v>
      </c>
      <c r="I42" s="160">
        <v>10</v>
      </c>
      <c r="J42" s="43">
        <v>3000</v>
      </c>
      <c r="K42" s="18">
        <f t="shared" si="1"/>
        <v>300</v>
      </c>
      <c r="L42" s="160">
        <v>10</v>
      </c>
      <c r="M42" s="19">
        <f t="shared" si="32"/>
        <v>2862.8571428571422</v>
      </c>
      <c r="N42" s="19">
        <f t="shared" si="3"/>
        <v>286.28571428571422</v>
      </c>
      <c r="O42" s="20">
        <f t="shared" si="4"/>
        <v>0</v>
      </c>
      <c r="P42" s="21">
        <f t="shared" si="5"/>
        <v>-13.714285714285779</v>
      </c>
      <c r="Q42" s="158">
        <f t="shared" si="6"/>
        <v>0.95428571428571407</v>
      </c>
      <c r="R42" s="585"/>
      <c r="S42" s="49">
        <v>0.16944444444444445</v>
      </c>
      <c r="T42" s="49">
        <v>0.24236111111111114</v>
      </c>
      <c r="U42" s="157">
        <f t="shared" ref="U42:U44" si="34">(S42-T41)*24*60</f>
        <v>30.000000000000014</v>
      </c>
      <c r="V42" s="161">
        <f t="shared" si="33"/>
        <v>105.00000000000003</v>
      </c>
      <c r="W42" s="25"/>
      <c r="X42" s="25"/>
      <c r="Y42" s="28"/>
      <c r="Z42" s="28"/>
      <c r="AA42" s="568"/>
      <c r="AB42" s="569"/>
      <c r="AC42" s="50"/>
      <c r="AD42" s="27"/>
      <c r="AE42" s="20">
        <f t="shared" si="8"/>
        <v>-137.14285714285779</v>
      </c>
      <c r="AF42" s="158">
        <f t="shared" si="9"/>
        <v>0.95428571428571407</v>
      </c>
      <c r="AG42" s="585"/>
    </row>
    <row r="43" spans="1:33" ht="15.75" customHeight="1">
      <c r="A43" s="590" t="s">
        <v>717</v>
      </c>
      <c r="B43" s="39" t="s">
        <v>104</v>
      </c>
      <c r="C43" s="566" t="s">
        <v>107</v>
      </c>
      <c r="D43" s="567"/>
      <c r="E43" s="39">
        <v>21.13</v>
      </c>
      <c r="F43" s="162">
        <v>5150</v>
      </c>
      <c r="G43" s="157">
        <f t="shared" si="31"/>
        <v>108819.5</v>
      </c>
      <c r="H43" s="48" t="s">
        <v>126</v>
      </c>
      <c r="I43" s="160">
        <v>10</v>
      </c>
      <c r="J43" s="43">
        <v>3000</v>
      </c>
      <c r="K43" s="18">
        <f t="shared" si="1"/>
        <v>300</v>
      </c>
      <c r="L43" s="160">
        <v>10</v>
      </c>
      <c r="M43" s="19">
        <f t="shared" si="32"/>
        <v>2861.1111111111118</v>
      </c>
      <c r="N43" s="19">
        <f t="shared" si="3"/>
        <v>286.1111111111112</v>
      </c>
      <c r="O43" s="20">
        <f t="shared" si="4"/>
        <v>0</v>
      </c>
      <c r="P43" s="21">
        <f t="shared" si="5"/>
        <v>-13.8888888888888</v>
      </c>
      <c r="Q43" s="158">
        <f t="shared" si="6"/>
        <v>0.95370370370370405</v>
      </c>
      <c r="R43" s="585"/>
      <c r="S43" s="49">
        <v>0.2479166666666667</v>
      </c>
      <c r="T43" s="49">
        <v>0.32291666666666669</v>
      </c>
      <c r="U43" s="157">
        <f t="shared" si="34"/>
        <v>8.0000000000000107</v>
      </c>
      <c r="V43" s="161">
        <f t="shared" si="33"/>
        <v>107.99999999999997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-138.88888888888823</v>
      </c>
      <c r="AF43" s="158">
        <f t="shared" si="9"/>
        <v>0.95370370370370394</v>
      </c>
      <c r="AG43" s="585"/>
    </row>
    <row r="44" spans="1:33" ht="15.75" customHeight="1">
      <c r="A44" s="590" t="s">
        <v>717</v>
      </c>
      <c r="B44" s="39" t="s">
        <v>104</v>
      </c>
      <c r="C44" s="566" t="s">
        <v>108</v>
      </c>
      <c r="D44" s="567"/>
      <c r="E44" s="39">
        <v>27.17</v>
      </c>
      <c r="F44" s="162">
        <v>6672</v>
      </c>
      <c r="G44" s="157">
        <f t="shared" si="31"/>
        <v>181278.24000000002</v>
      </c>
      <c r="H44" s="48" t="s">
        <v>126</v>
      </c>
      <c r="I44" s="160">
        <v>10</v>
      </c>
      <c r="J44" s="43">
        <v>3000</v>
      </c>
      <c r="K44" s="18">
        <f t="shared" si="1"/>
        <v>300</v>
      </c>
      <c r="L44" s="160">
        <v>10</v>
      </c>
      <c r="M44" s="19">
        <f t="shared" si="32"/>
        <v>2859.428571428572</v>
      </c>
      <c r="N44" s="19">
        <f t="shared" si="3"/>
        <v>285.94285714285718</v>
      </c>
      <c r="O44" s="20">
        <f t="shared" si="4"/>
        <v>0</v>
      </c>
      <c r="P44" s="21">
        <f t="shared" si="5"/>
        <v>-14.057142857142821</v>
      </c>
      <c r="Q44" s="158">
        <f t="shared" si="6"/>
        <v>0.95314285714285729</v>
      </c>
      <c r="R44" s="585"/>
      <c r="S44" s="49">
        <v>0.32847222222222222</v>
      </c>
      <c r="T44" s="49">
        <v>0.42569444444444443</v>
      </c>
      <c r="U44" s="157">
        <f t="shared" si="34"/>
        <v>7.9999999999999716</v>
      </c>
      <c r="V44" s="161">
        <f t="shared" si="33"/>
        <v>139.99999999999997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-140.57142857142799</v>
      </c>
      <c r="AF44" s="158">
        <f t="shared" si="9"/>
        <v>0.95314285714285729</v>
      </c>
      <c r="AG44" s="585"/>
    </row>
    <row r="45" spans="1:33" ht="15.75" customHeight="1">
      <c r="A45" s="591" t="s">
        <v>717</v>
      </c>
      <c r="B45" s="39" t="s">
        <v>711</v>
      </c>
      <c r="C45" s="570"/>
      <c r="D45" s="571"/>
      <c r="E45" s="155"/>
      <c r="F45" s="162"/>
      <c r="G45" s="157"/>
      <c r="H45" s="162"/>
      <c r="I45" s="32">
        <v>10.75</v>
      </c>
      <c r="J45" s="43">
        <v>2750</v>
      </c>
      <c r="K45" s="18">
        <f t="shared" si="1"/>
        <v>255.81395348837211</v>
      </c>
      <c r="L45" s="32">
        <v>10.75</v>
      </c>
      <c r="M45" s="19">
        <f>AVERAGE(M41:M44)</f>
        <v>2623.2960148598449</v>
      </c>
      <c r="N45" s="18">
        <f t="shared" si="3"/>
        <v>244.02753626603209</v>
      </c>
      <c r="O45" s="20">
        <f t="shared" si="4"/>
        <v>0</v>
      </c>
      <c r="P45" s="21">
        <f t="shared" si="5"/>
        <v>-11.78641722234002</v>
      </c>
      <c r="Q45" s="158">
        <f t="shared" si="6"/>
        <v>0.95392582358539812</v>
      </c>
      <c r="R45" s="586"/>
      <c r="S45" s="49"/>
      <c r="T45" s="49"/>
      <c r="U45" s="157"/>
      <c r="V45" s="161"/>
      <c r="W45" s="25"/>
      <c r="X45" s="25"/>
      <c r="Y45" s="33">
        <f>SUM(Y41:Y44)</f>
        <v>0</v>
      </c>
      <c r="Z45" s="33">
        <f>SUM(Z41:Z44)</f>
        <v>0</v>
      </c>
      <c r="AA45" s="587"/>
      <c r="AB45" s="588"/>
      <c r="AC45" s="33">
        <f>SUM(AC41:AC44)</f>
        <v>4</v>
      </c>
      <c r="AD45" s="33">
        <f>SUM(AD41:AD44)</f>
        <v>0</v>
      </c>
      <c r="AE45" s="20">
        <f t="shared" si="8"/>
        <v>-126.70398514015505</v>
      </c>
      <c r="AF45" s="158">
        <f t="shared" si="9"/>
        <v>0.95392582358539812</v>
      </c>
      <c r="AG45" s="586"/>
    </row>
    <row r="46" spans="1:33" ht="15.75" customHeight="1">
      <c r="A46" s="582" t="s">
        <v>718</v>
      </c>
      <c r="B46" s="39" t="s">
        <v>79</v>
      </c>
      <c r="C46" s="574" t="s">
        <v>109</v>
      </c>
      <c r="D46" s="574"/>
      <c r="E46" s="39">
        <v>46</v>
      </c>
      <c r="F46" s="45">
        <v>2101</v>
      </c>
      <c r="G46" s="157">
        <f t="shared" ref="G46:G52" si="35">E46*F46</f>
        <v>96646</v>
      </c>
      <c r="H46" s="48" t="s">
        <v>126</v>
      </c>
      <c r="I46" s="160">
        <v>16</v>
      </c>
      <c r="J46" s="43">
        <v>2000</v>
      </c>
      <c r="K46" s="18">
        <f t="shared" si="1"/>
        <v>125</v>
      </c>
      <c r="L46" s="160">
        <v>16</v>
      </c>
      <c r="M46" s="19">
        <f t="shared" ref="M46" si="36">F46/V46*60</f>
        <v>1910.0000000000007</v>
      </c>
      <c r="N46" s="19">
        <f t="shared" si="3"/>
        <v>119.37500000000004</v>
      </c>
      <c r="O46" s="20">
        <f t="shared" si="4"/>
        <v>0</v>
      </c>
      <c r="P46" s="21">
        <f t="shared" si="5"/>
        <v>-5.6249999999999574</v>
      </c>
      <c r="Q46" s="158">
        <f t="shared" si="6"/>
        <v>0.95500000000000029</v>
      </c>
      <c r="R46" s="573">
        <f>Q53</f>
        <v>0.95846432116364599</v>
      </c>
      <c r="S46" s="49">
        <v>0.20833333333333334</v>
      </c>
      <c r="T46" s="49">
        <v>0.25416666666666665</v>
      </c>
      <c r="U46" s="30"/>
      <c r="V46" s="161">
        <f t="shared" ref="V46:V52" si="37">(T46-S46)*24*60</f>
        <v>65.999999999999972</v>
      </c>
      <c r="W46" s="30"/>
      <c r="X46" s="30"/>
      <c r="Y46" s="30"/>
      <c r="Z46" s="30"/>
      <c r="AA46" s="575"/>
      <c r="AB46" s="575"/>
      <c r="AC46" s="50">
        <v>7</v>
      </c>
      <c r="AD46" s="27"/>
      <c r="AE46" s="20">
        <f t="shared" si="8"/>
        <v>-89.999999999999318</v>
      </c>
      <c r="AF46" s="158">
        <f t="shared" si="9"/>
        <v>0.95500000000000029</v>
      </c>
      <c r="AG46" s="573">
        <f>AF53</f>
        <v>0.9584643211636461</v>
      </c>
    </row>
    <row r="47" spans="1:33" ht="15.75" customHeight="1">
      <c r="A47" s="582" t="s">
        <v>718</v>
      </c>
      <c r="B47" s="39" t="s">
        <v>74</v>
      </c>
      <c r="C47" s="574" t="s">
        <v>110</v>
      </c>
      <c r="D47" s="574"/>
      <c r="E47" s="39">
        <v>56.43</v>
      </c>
      <c r="F47" s="45">
        <v>1363</v>
      </c>
      <c r="G47" s="157">
        <f t="shared" si="35"/>
        <v>76914.09</v>
      </c>
      <c r="H47" s="48" t="s">
        <v>126</v>
      </c>
      <c r="I47" s="160">
        <v>22</v>
      </c>
      <c r="J47" s="43">
        <v>2000</v>
      </c>
      <c r="K47" s="18">
        <f t="shared" si="1"/>
        <v>90.909090909090907</v>
      </c>
      <c r="L47" s="160">
        <v>22</v>
      </c>
      <c r="M47" s="19">
        <f>F47/V47*60</f>
        <v>1901.8604651162786</v>
      </c>
      <c r="N47" s="19">
        <f t="shared" si="3"/>
        <v>86.448202959830851</v>
      </c>
      <c r="O47" s="20">
        <f t="shared" si="4"/>
        <v>0</v>
      </c>
      <c r="P47" s="21">
        <f t="shared" si="5"/>
        <v>-4.4608879492600551</v>
      </c>
      <c r="Q47" s="158">
        <f t="shared" si="6"/>
        <v>0.95093023255813935</v>
      </c>
      <c r="R47" s="573"/>
      <c r="S47" s="49">
        <v>0.25763888888888886</v>
      </c>
      <c r="T47" s="49">
        <v>0.28749999999999998</v>
      </c>
      <c r="U47" s="157">
        <f t="shared" ref="U47:U52" si="38">IF(S47=TIME(17,0,0),"",(S47-T46)*24*60)</f>
        <v>4.9999999999999822</v>
      </c>
      <c r="V47" s="161">
        <f t="shared" si="37"/>
        <v>43.000000000000007</v>
      </c>
      <c r="W47" s="25"/>
      <c r="X47" s="25"/>
      <c r="Y47" s="25"/>
      <c r="Z47" s="25"/>
      <c r="AA47" s="575"/>
      <c r="AB47" s="575"/>
      <c r="AC47" s="50"/>
      <c r="AD47" s="27"/>
      <c r="AE47" s="20">
        <f t="shared" si="8"/>
        <v>-98.139534883721353</v>
      </c>
      <c r="AF47" s="158">
        <f t="shared" si="9"/>
        <v>0.95093023255813935</v>
      </c>
      <c r="AG47" s="573"/>
    </row>
    <row r="48" spans="1:33" ht="15.75" customHeight="1">
      <c r="A48" s="582" t="s">
        <v>719</v>
      </c>
      <c r="B48" s="39" t="s">
        <v>74</v>
      </c>
      <c r="C48" s="566" t="s">
        <v>111</v>
      </c>
      <c r="D48" s="567"/>
      <c r="E48" s="39">
        <v>51.75</v>
      </c>
      <c r="F48" s="45">
        <v>888</v>
      </c>
      <c r="G48" s="157">
        <f t="shared" si="35"/>
        <v>45954</v>
      </c>
      <c r="H48" s="48" t="s">
        <v>126</v>
      </c>
      <c r="I48" s="160">
        <v>25</v>
      </c>
      <c r="J48" s="43">
        <v>2000</v>
      </c>
      <c r="K48" s="18">
        <f t="shared" si="1"/>
        <v>80</v>
      </c>
      <c r="L48" s="160">
        <v>25</v>
      </c>
      <c r="M48" s="19">
        <f t="shared" ref="M48:M52" si="39">F48/V48*60</f>
        <v>1902.8571428571445</v>
      </c>
      <c r="N48" s="19">
        <f t="shared" si="3"/>
        <v>76.114285714285785</v>
      </c>
      <c r="O48" s="20">
        <f t="shared" si="4"/>
        <v>0</v>
      </c>
      <c r="P48" s="21">
        <f t="shared" si="5"/>
        <v>-3.8857142857142151</v>
      </c>
      <c r="Q48" s="158">
        <f t="shared" si="6"/>
        <v>0.95142857142857229</v>
      </c>
      <c r="R48" s="573"/>
      <c r="S48" s="49">
        <v>0.29097222222222219</v>
      </c>
      <c r="T48" s="49">
        <v>0.31041666666666662</v>
      </c>
      <c r="U48" s="157">
        <f t="shared" si="38"/>
        <v>4.9999999999999822</v>
      </c>
      <c r="V48" s="161">
        <f t="shared" si="37"/>
        <v>27.999999999999979</v>
      </c>
      <c r="W48" s="25"/>
      <c r="X48" s="25"/>
      <c r="Y48" s="28"/>
      <c r="Z48" s="28"/>
      <c r="AA48" s="575"/>
      <c r="AB48" s="575"/>
      <c r="AC48" s="50"/>
      <c r="AD48" s="27"/>
      <c r="AE48" s="20">
        <f t="shared" si="8"/>
        <v>-97.142857142855519</v>
      </c>
      <c r="AF48" s="158">
        <f t="shared" si="9"/>
        <v>0.95142857142857229</v>
      </c>
      <c r="AG48" s="573"/>
    </row>
    <row r="49" spans="1:33" ht="15.75" customHeight="1">
      <c r="A49" s="582" t="s">
        <v>718</v>
      </c>
      <c r="B49" s="39" t="s">
        <v>74</v>
      </c>
      <c r="C49" s="152" t="s">
        <v>88</v>
      </c>
      <c r="D49" s="153"/>
      <c r="E49" s="39">
        <v>59.04</v>
      </c>
      <c r="F49" s="45">
        <v>6803</v>
      </c>
      <c r="G49" s="157">
        <f t="shared" si="35"/>
        <v>401649.12</v>
      </c>
      <c r="H49" s="48" t="s">
        <v>126</v>
      </c>
      <c r="I49" s="160">
        <v>19</v>
      </c>
      <c r="J49" s="43">
        <v>2000</v>
      </c>
      <c r="K49" s="18">
        <f t="shared" si="1"/>
        <v>105.26315789473684</v>
      </c>
      <c r="L49" s="160">
        <v>19</v>
      </c>
      <c r="M49" s="19">
        <f t="shared" si="39"/>
        <v>1907.3831775700937</v>
      </c>
      <c r="N49" s="19">
        <f t="shared" si="3"/>
        <v>100.38858829316283</v>
      </c>
      <c r="O49" s="20">
        <f t="shared" si="4"/>
        <v>0</v>
      </c>
      <c r="P49" s="21">
        <f t="shared" si="5"/>
        <v>-4.8745696015740094</v>
      </c>
      <c r="Q49" s="158">
        <f t="shared" si="6"/>
        <v>0.9536915887850469</v>
      </c>
      <c r="R49" s="573"/>
      <c r="S49" s="49">
        <v>0.31527777777777771</v>
      </c>
      <c r="T49" s="49">
        <v>0.4638888888888888</v>
      </c>
      <c r="U49" s="157">
        <f t="shared" si="38"/>
        <v>6.9999999999999751</v>
      </c>
      <c r="V49" s="161">
        <f t="shared" si="37"/>
        <v>213.99999999999997</v>
      </c>
      <c r="W49" s="25"/>
      <c r="X49" s="25"/>
      <c r="Y49" s="28"/>
      <c r="Z49" s="28"/>
      <c r="AA49" s="575"/>
      <c r="AB49" s="575"/>
      <c r="AC49" s="50"/>
      <c r="AD49" s="27"/>
      <c r="AE49" s="20">
        <f t="shared" si="8"/>
        <v>-92.616822429906279</v>
      </c>
      <c r="AF49" s="158">
        <f t="shared" si="9"/>
        <v>0.9536915887850469</v>
      </c>
      <c r="AG49" s="573"/>
    </row>
    <row r="50" spans="1:33" ht="15.75" customHeight="1">
      <c r="A50" s="582" t="s">
        <v>718</v>
      </c>
      <c r="B50" s="39" t="s">
        <v>74</v>
      </c>
      <c r="C50" s="152" t="s">
        <v>112</v>
      </c>
      <c r="D50" s="153"/>
      <c r="E50" s="39">
        <v>55.32</v>
      </c>
      <c r="F50" s="45">
        <v>1195</v>
      </c>
      <c r="G50" s="157">
        <f t="shared" si="35"/>
        <v>66107.399999999994</v>
      </c>
      <c r="H50" s="48" t="s">
        <v>126</v>
      </c>
      <c r="I50" s="160">
        <v>15</v>
      </c>
      <c r="J50" s="43">
        <v>2000</v>
      </c>
      <c r="K50" s="18">
        <f t="shared" si="1"/>
        <v>133.33333333333334</v>
      </c>
      <c r="L50" s="160">
        <v>15</v>
      </c>
      <c r="M50" s="19">
        <f t="shared" si="39"/>
        <v>1937.8378378378361</v>
      </c>
      <c r="N50" s="19">
        <f t="shared" si="3"/>
        <v>129.18918918918908</v>
      </c>
      <c r="O50" s="20">
        <f t="shared" si="4"/>
        <v>0</v>
      </c>
      <c r="P50" s="21">
        <f t="shared" si="5"/>
        <v>-4.1441441441442635</v>
      </c>
      <c r="Q50" s="158">
        <f t="shared" si="6"/>
        <v>0.96891891891891802</v>
      </c>
      <c r="R50" s="573"/>
      <c r="S50" s="49">
        <v>0.70833333333333337</v>
      </c>
      <c r="T50" s="49">
        <v>0.73402777777777783</v>
      </c>
      <c r="U50" s="157" t="str">
        <f t="shared" si="38"/>
        <v/>
      </c>
      <c r="V50" s="161">
        <f t="shared" si="37"/>
        <v>37.000000000000028</v>
      </c>
      <c r="W50" s="25"/>
      <c r="X50" s="25"/>
      <c r="Y50" s="28"/>
      <c r="Z50" s="28"/>
      <c r="AA50" s="575"/>
      <c r="AB50" s="575"/>
      <c r="AC50" s="50"/>
      <c r="AD50" s="27"/>
      <c r="AE50" s="20">
        <f t="shared" si="8"/>
        <v>-62.162162162163895</v>
      </c>
      <c r="AF50" s="158">
        <f t="shared" si="9"/>
        <v>0.96891891891891802</v>
      </c>
      <c r="AG50" s="573"/>
    </row>
    <row r="51" spans="1:33" ht="15.75" customHeight="1">
      <c r="A51" s="582" t="s">
        <v>718</v>
      </c>
      <c r="B51" s="39" t="s">
        <v>74</v>
      </c>
      <c r="C51" s="566" t="s">
        <v>113</v>
      </c>
      <c r="D51" s="567"/>
      <c r="E51" s="39">
        <v>55.56</v>
      </c>
      <c r="F51" s="45">
        <v>1662</v>
      </c>
      <c r="G51" s="157">
        <f t="shared" si="35"/>
        <v>92340.72</v>
      </c>
      <c r="H51" s="48" t="s">
        <v>126</v>
      </c>
      <c r="I51" s="160">
        <v>17</v>
      </c>
      <c r="J51" s="43">
        <v>2000</v>
      </c>
      <c r="K51" s="18">
        <f t="shared" si="1"/>
        <v>117.64705882352941</v>
      </c>
      <c r="L51" s="160">
        <v>17</v>
      </c>
      <c r="M51" s="19">
        <f t="shared" si="39"/>
        <v>1917.6923076923088</v>
      </c>
      <c r="N51" s="19">
        <f t="shared" si="3"/>
        <v>112.80542986425345</v>
      </c>
      <c r="O51" s="20">
        <f t="shared" si="4"/>
        <v>0</v>
      </c>
      <c r="P51" s="21">
        <f t="shared" si="5"/>
        <v>-4.8416289592759512</v>
      </c>
      <c r="Q51" s="158">
        <f t="shared" si="6"/>
        <v>0.95884615384615446</v>
      </c>
      <c r="R51" s="573"/>
      <c r="S51" s="49">
        <v>0.73888888888888893</v>
      </c>
      <c r="T51" s="49">
        <v>0.77500000000000002</v>
      </c>
      <c r="U51" s="157">
        <f t="shared" si="38"/>
        <v>6.9999999999999751</v>
      </c>
      <c r="V51" s="161">
        <f t="shared" si="37"/>
        <v>51.999999999999972</v>
      </c>
      <c r="W51" s="25"/>
      <c r="X51" s="25"/>
      <c r="Y51" s="28"/>
      <c r="Z51" s="28"/>
      <c r="AA51" s="568"/>
      <c r="AB51" s="569"/>
      <c r="AC51" s="50"/>
      <c r="AD51" s="27"/>
      <c r="AE51" s="20">
        <f t="shared" si="8"/>
        <v>-82.307692307691241</v>
      </c>
      <c r="AF51" s="158">
        <f t="shared" si="9"/>
        <v>0.95884615384615435</v>
      </c>
      <c r="AG51" s="573"/>
    </row>
    <row r="52" spans="1:33" ht="15.75" customHeight="1">
      <c r="A52" s="582" t="s">
        <v>718</v>
      </c>
      <c r="B52" s="39" t="s">
        <v>74</v>
      </c>
      <c r="C52" s="566" t="s">
        <v>114</v>
      </c>
      <c r="D52" s="567"/>
      <c r="E52" s="39">
        <v>54.29</v>
      </c>
      <c r="F52" s="45">
        <v>744</v>
      </c>
      <c r="G52" s="157">
        <f t="shared" si="35"/>
        <v>40391.760000000002</v>
      </c>
      <c r="H52" s="48" t="s">
        <v>126</v>
      </c>
      <c r="I52" s="160">
        <v>20</v>
      </c>
      <c r="J52" s="43">
        <v>2000</v>
      </c>
      <c r="K52" s="18">
        <f t="shared" si="1"/>
        <v>100</v>
      </c>
      <c r="L52" s="160">
        <v>20</v>
      </c>
      <c r="M52" s="19">
        <f t="shared" si="39"/>
        <v>1940.8695652173847</v>
      </c>
      <c r="N52" s="19">
        <f t="shared" si="3"/>
        <v>97.043478260869236</v>
      </c>
      <c r="O52" s="20">
        <f t="shared" si="4"/>
        <v>0</v>
      </c>
      <c r="P52" s="21">
        <f t="shared" si="5"/>
        <v>-2.9565217391307641</v>
      </c>
      <c r="Q52" s="158">
        <f t="shared" si="6"/>
        <v>0.97043478260869231</v>
      </c>
      <c r="R52" s="573"/>
      <c r="S52" s="49">
        <v>0.77847222222222223</v>
      </c>
      <c r="T52" s="49">
        <v>0.79444444444444451</v>
      </c>
      <c r="U52" s="157">
        <f t="shared" si="38"/>
        <v>4.9999999999999822</v>
      </c>
      <c r="V52" s="161">
        <f t="shared" si="37"/>
        <v>23.000000000000078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-59.130434782615339</v>
      </c>
      <c r="AF52" s="158">
        <f t="shared" si="9"/>
        <v>0.97043478260869231</v>
      </c>
      <c r="AG52" s="573"/>
    </row>
    <row r="53" spans="1:33">
      <c r="A53" s="583" t="s">
        <v>718</v>
      </c>
      <c r="B53" s="39" t="s">
        <v>711</v>
      </c>
      <c r="C53" s="576"/>
      <c r="D53" s="576"/>
      <c r="E53" s="159"/>
      <c r="F53" s="42"/>
      <c r="G53" s="18"/>
      <c r="H53" s="162"/>
      <c r="I53" s="32">
        <v>19.142857142857142</v>
      </c>
      <c r="J53" s="43">
        <v>2000</v>
      </c>
      <c r="K53" s="18">
        <f t="shared" si="1"/>
        <v>104.47761194029852</v>
      </c>
      <c r="L53" s="32">
        <v>19.142857142857142</v>
      </c>
      <c r="M53" s="19">
        <f>AVERAGE(M46:M52)</f>
        <v>1916.9286423272922</v>
      </c>
      <c r="N53" s="18">
        <f t="shared" si="3"/>
        <v>100.13806340515706</v>
      </c>
      <c r="O53" s="20">
        <f t="shared" si="4"/>
        <v>0</v>
      </c>
      <c r="P53" s="21">
        <f t="shared" si="5"/>
        <v>-4.3395485351414607</v>
      </c>
      <c r="Q53" s="158">
        <f t="shared" si="6"/>
        <v>0.95846432116364599</v>
      </c>
      <c r="R53" s="573"/>
      <c r="S53" s="49"/>
      <c r="T53" s="49"/>
      <c r="U53" s="157"/>
      <c r="V53" s="161"/>
      <c r="W53" s="18"/>
      <c r="X53" s="18"/>
      <c r="Y53" s="33">
        <f>SUM(Y46:Y52)</f>
        <v>0</v>
      </c>
      <c r="Z53" s="33">
        <f>SUM(Z46:Z52)</f>
        <v>0</v>
      </c>
      <c r="AA53" s="572"/>
      <c r="AB53" s="572"/>
      <c r="AC53" s="33">
        <f>SUM(AC46:AC52)</f>
        <v>7</v>
      </c>
      <c r="AD53" s="33">
        <f>SUM(AD46:AD52)</f>
        <v>0</v>
      </c>
      <c r="AE53" s="20">
        <f>M53-J53</f>
        <v>-83.071357672707791</v>
      </c>
      <c r="AF53" s="158">
        <f t="shared" si="9"/>
        <v>0.9584643211636461</v>
      </c>
      <c r="AG53" s="573"/>
    </row>
    <row r="54" spans="1:33" ht="15.75" customHeight="1">
      <c r="A54" s="580" t="s">
        <v>720</v>
      </c>
      <c r="B54" s="162" t="s">
        <v>104</v>
      </c>
      <c r="C54" s="574" t="s">
        <v>115</v>
      </c>
      <c r="D54" s="574"/>
      <c r="E54" s="39">
        <v>34.36</v>
      </c>
      <c r="F54" s="45">
        <v>2082</v>
      </c>
      <c r="G54" s="157">
        <f t="shared" ref="G54:G59" si="40">E54*F54</f>
        <v>71537.52</v>
      </c>
      <c r="H54" s="48" t="s">
        <v>126</v>
      </c>
      <c r="I54" s="160">
        <v>10</v>
      </c>
      <c r="J54" s="43">
        <v>3000</v>
      </c>
      <c r="K54" s="18">
        <f t="shared" si="1"/>
        <v>300</v>
      </c>
      <c r="L54" s="160">
        <v>10</v>
      </c>
      <c r="M54" s="19">
        <f t="shared" ref="M54:M59" si="41">F54/V54*60</f>
        <v>2905.1162790697667</v>
      </c>
      <c r="N54" s="18">
        <f t="shared" si="3"/>
        <v>290.51162790697668</v>
      </c>
      <c r="O54" s="20">
        <f t="shared" si="4"/>
        <v>0</v>
      </c>
      <c r="P54" s="21">
        <f t="shared" si="5"/>
        <v>-9.4883720930233153</v>
      </c>
      <c r="Q54" s="158">
        <f t="shared" si="6"/>
        <v>0.96837209302325566</v>
      </c>
      <c r="R54" s="573">
        <f>Q60</f>
        <v>0.96742950503606073</v>
      </c>
      <c r="S54" s="49">
        <v>0.20833333333333334</v>
      </c>
      <c r="T54" s="49">
        <v>0.23819444444444446</v>
      </c>
      <c r="U54" s="157"/>
      <c r="V54" s="161">
        <f t="shared" ref="V54:V59" si="42">(T54-S54)*24*60</f>
        <v>43.000000000000007</v>
      </c>
      <c r="W54" s="30"/>
      <c r="X54" s="30"/>
      <c r="Y54" s="30"/>
      <c r="Z54" s="30"/>
      <c r="AA54" s="575"/>
      <c r="AB54" s="575"/>
      <c r="AC54" s="50">
        <v>6</v>
      </c>
      <c r="AD54" s="27"/>
      <c r="AE54" s="20">
        <f t="shared" ref="AE54:AE69" si="43">M54-J54</f>
        <v>-94.883720930233267</v>
      </c>
      <c r="AF54" s="158">
        <f t="shared" si="9"/>
        <v>0.96837209302325555</v>
      </c>
      <c r="AG54" s="573">
        <f>AF60</f>
        <v>0.96742950503606073</v>
      </c>
    </row>
    <row r="55" spans="1:33" ht="15.75" customHeight="1">
      <c r="A55" s="580" t="s">
        <v>720</v>
      </c>
      <c r="B55" s="162" t="s">
        <v>104</v>
      </c>
      <c r="C55" s="574" t="s">
        <v>116</v>
      </c>
      <c r="D55" s="574"/>
      <c r="E55" s="39">
        <v>34.36</v>
      </c>
      <c r="F55" s="45">
        <v>1133</v>
      </c>
      <c r="G55" s="157">
        <f t="shared" si="40"/>
        <v>38929.879999999997</v>
      </c>
      <c r="H55" s="48" t="s">
        <v>126</v>
      </c>
      <c r="I55" s="160">
        <v>10</v>
      </c>
      <c r="J55" s="43">
        <v>3000</v>
      </c>
      <c r="K55" s="18">
        <f t="shared" si="1"/>
        <v>300</v>
      </c>
      <c r="L55" s="160">
        <v>10</v>
      </c>
      <c r="M55" s="19">
        <f t="shared" si="41"/>
        <v>2955.6521739130385</v>
      </c>
      <c r="N55" s="18">
        <f t="shared" si="3"/>
        <v>295.56521739130386</v>
      </c>
      <c r="O55" s="20">
        <f t="shared" si="4"/>
        <v>0</v>
      </c>
      <c r="P55" s="21">
        <f t="shared" si="5"/>
        <v>-4.4347826086961391</v>
      </c>
      <c r="Q55" s="158">
        <f t="shared" si="6"/>
        <v>0.98521739130434616</v>
      </c>
      <c r="R55" s="573"/>
      <c r="S55" s="49">
        <v>0.24166666666666667</v>
      </c>
      <c r="T55" s="49">
        <v>0.25763888888888892</v>
      </c>
      <c r="U55" s="157">
        <f t="shared" ref="U55:U59" si="44">(S55-T54)*24*60</f>
        <v>4.9999999999999822</v>
      </c>
      <c r="V55" s="161">
        <f t="shared" si="42"/>
        <v>23.000000000000039</v>
      </c>
      <c r="W55" s="157"/>
      <c r="X55" s="157"/>
      <c r="Y55" s="157"/>
      <c r="Z55" s="157"/>
      <c r="AA55" s="575"/>
      <c r="AB55" s="575"/>
      <c r="AC55" s="50"/>
      <c r="AD55" s="27"/>
      <c r="AE55" s="20">
        <f t="shared" si="43"/>
        <v>-44.347826086961504</v>
      </c>
      <c r="AF55" s="158">
        <f t="shared" si="9"/>
        <v>0.98521739130434616</v>
      </c>
      <c r="AG55" s="573"/>
    </row>
    <row r="56" spans="1:33" ht="15.75" customHeight="1">
      <c r="A56" s="580" t="s">
        <v>720</v>
      </c>
      <c r="B56" s="162" t="s">
        <v>104</v>
      </c>
      <c r="C56" s="574" t="s">
        <v>117</v>
      </c>
      <c r="D56" s="574"/>
      <c r="E56" s="39">
        <v>26.78</v>
      </c>
      <c r="F56" s="45">
        <v>2272</v>
      </c>
      <c r="G56" s="157">
        <f t="shared" si="40"/>
        <v>60844.160000000003</v>
      </c>
      <c r="H56" s="48" t="s">
        <v>126</v>
      </c>
      <c r="I56" s="160">
        <v>10</v>
      </c>
      <c r="J56" s="43">
        <v>3000</v>
      </c>
      <c r="K56" s="18">
        <f t="shared" si="1"/>
        <v>300</v>
      </c>
      <c r="L56" s="160">
        <v>10</v>
      </c>
      <c r="M56" s="19">
        <f t="shared" si="41"/>
        <v>2900.4255319148942</v>
      </c>
      <c r="N56" s="18">
        <f t="shared" si="3"/>
        <v>290.04255319148945</v>
      </c>
      <c r="O56" s="20">
        <f t="shared" si="4"/>
        <v>0</v>
      </c>
      <c r="P56" s="21">
        <f t="shared" si="5"/>
        <v>-9.9574468085105536</v>
      </c>
      <c r="Q56" s="158">
        <f t="shared" si="6"/>
        <v>0.9668085106382982</v>
      </c>
      <c r="R56" s="573"/>
      <c r="S56" s="49">
        <v>0.26180555555555557</v>
      </c>
      <c r="T56" s="49">
        <v>0.29444444444444445</v>
      </c>
      <c r="U56" s="157">
        <f t="shared" si="44"/>
        <v>5.9999999999999787</v>
      </c>
      <c r="V56" s="161">
        <f t="shared" si="42"/>
        <v>46.999999999999993</v>
      </c>
      <c r="W56" s="157"/>
      <c r="X56" s="157"/>
      <c r="Y56" s="157"/>
      <c r="Z56" s="157"/>
      <c r="AA56" s="575"/>
      <c r="AB56" s="575"/>
      <c r="AC56" s="50"/>
      <c r="AD56" s="27"/>
      <c r="AE56" s="20">
        <f t="shared" si="43"/>
        <v>-99.574468085105764</v>
      </c>
      <c r="AF56" s="158">
        <f t="shared" si="9"/>
        <v>0.96680851063829809</v>
      </c>
      <c r="AG56" s="573"/>
    </row>
    <row r="57" spans="1:33" ht="15.75" customHeight="1">
      <c r="A57" s="580" t="s">
        <v>721</v>
      </c>
      <c r="B57" s="162" t="s">
        <v>104</v>
      </c>
      <c r="C57" s="574" t="s">
        <v>118</v>
      </c>
      <c r="D57" s="574"/>
      <c r="E57" s="39">
        <v>37.880000000000003</v>
      </c>
      <c r="F57" s="45">
        <v>1564</v>
      </c>
      <c r="G57" s="157">
        <f t="shared" si="40"/>
        <v>59244.320000000007</v>
      </c>
      <c r="H57" s="48" t="s">
        <v>126</v>
      </c>
      <c r="I57" s="160">
        <v>10</v>
      </c>
      <c r="J57" s="43">
        <v>3000</v>
      </c>
      <c r="K57" s="18">
        <f t="shared" si="1"/>
        <v>300</v>
      </c>
      <c r="L57" s="160">
        <v>10</v>
      </c>
      <c r="M57" s="19">
        <f t="shared" si="41"/>
        <v>2932.5000000000036</v>
      </c>
      <c r="N57" s="18">
        <f t="shared" si="3"/>
        <v>293.25000000000034</v>
      </c>
      <c r="O57" s="20">
        <f t="shared" si="4"/>
        <v>0</v>
      </c>
      <c r="P57" s="21">
        <f t="shared" si="5"/>
        <v>-6.7499999999996589</v>
      </c>
      <c r="Q57" s="158">
        <f t="shared" si="6"/>
        <v>0.97750000000000115</v>
      </c>
      <c r="R57" s="573"/>
      <c r="S57" s="49">
        <v>0.2986111111111111</v>
      </c>
      <c r="T57" s="49">
        <v>0.3208333333333333</v>
      </c>
      <c r="U57" s="157">
        <f t="shared" si="44"/>
        <v>5.9999999999999787</v>
      </c>
      <c r="V57" s="161">
        <f t="shared" si="42"/>
        <v>31.999999999999964</v>
      </c>
      <c r="W57" s="157"/>
      <c r="X57" s="157"/>
      <c r="Y57" s="157"/>
      <c r="Z57" s="157"/>
      <c r="AA57" s="575"/>
      <c r="AB57" s="575"/>
      <c r="AC57" s="50"/>
      <c r="AD57" s="27"/>
      <c r="AE57" s="20">
        <f t="shared" si="43"/>
        <v>-67.499999999996362</v>
      </c>
      <c r="AF57" s="158">
        <f t="shared" si="9"/>
        <v>0.97750000000000126</v>
      </c>
      <c r="AG57" s="573"/>
    </row>
    <row r="58" spans="1:33">
      <c r="A58" s="581" t="s">
        <v>720</v>
      </c>
      <c r="B58" s="162" t="s">
        <v>104</v>
      </c>
      <c r="C58" s="574" t="s">
        <v>119</v>
      </c>
      <c r="D58" s="574"/>
      <c r="E58" s="39">
        <v>35.869999999999997</v>
      </c>
      <c r="F58" s="45">
        <v>3673</v>
      </c>
      <c r="G58" s="157">
        <f t="shared" si="40"/>
        <v>131750.50999999998</v>
      </c>
      <c r="H58" s="48" t="s">
        <v>126</v>
      </c>
      <c r="I58" s="160">
        <v>9</v>
      </c>
      <c r="J58" s="43">
        <v>3000</v>
      </c>
      <c r="K58" s="18">
        <f t="shared" si="1"/>
        <v>333.33333333333331</v>
      </c>
      <c r="L58" s="160">
        <v>9</v>
      </c>
      <c r="M58" s="19">
        <f t="shared" si="41"/>
        <v>2862.0779220779204</v>
      </c>
      <c r="N58" s="18">
        <f t="shared" si="3"/>
        <v>318.00865800865785</v>
      </c>
      <c r="O58" s="20">
        <f t="shared" si="4"/>
        <v>0</v>
      </c>
      <c r="P58" s="21">
        <f t="shared" si="5"/>
        <v>-15.324675324675468</v>
      </c>
      <c r="Q58" s="158">
        <f t="shared" si="6"/>
        <v>0.95402597402597356</v>
      </c>
      <c r="R58" s="573"/>
      <c r="S58" s="49">
        <v>0.32499999999999996</v>
      </c>
      <c r="T58" s="49">
        <v>0.37847222222222221</v>
      </c>
      <c r="U58" s="157">
        <f t="shared" si="44"/>
        <v>5.9999999999999787</v>
      </c>
      <c r="V58" s="161">
        <f t="shared" si="42"/>
        <v>77.000000000000043</v>
      </c>
      <c r="W58" s="25"/>
      <c r="X58" s="25"/>
      <c r="Y58" s="25"/>
      <c r="Z58" s="25"/>
      <c r="AA58" s="575"/>
      <c r="AB58" s="575"/>
      <c r="AC58" s="50"/>
      <c r="AD58" s="27"/>
      <c r="AE58" s="20">
        <f t="shared" si="43"/>
        <v>-137.92207792207955</v>
      </c>
      <c r="AF58" s="158">
        <f t="shared" si="9"/>
        <v>0.95402597402597344</v>
      </c>
      <c r="AG58" s="573"/>
    </row>
    <row r="59" spans="1:33" ht="15" customHeight="1">
      <c r="A59" s="581" t="s">
        <v>720</v>
      </c>
      <c r="B59" s="162" t="s">
        <v>104</v>
      </c>
      <c r="C59" s="566" t="s">
        <v>120</v>
      </c>
      <c r="D59" s="567"/>
      <c r="E59" s="39">
        <v>34.35</v>
      </c>
      <c r="F59" s="45">
        <v>2334</v>
      </c>
      <c r="G59" s="157">
        <f t="shared" si="40"/>
        <v>80172.900000000009</v>
      </c>
      <c r="H59" s="48" t="s">
        <v>126</v>
      </c>
      <c r="I59" s="160">
        <v>8</v>
      </c>
      <c r="J59" s="43">
        <v>3000</v>
      </c>
      <c r="K59" s="18">
        <f t="shared" si="1"/>
        <v>375</v>
      </c>
      <c r="L59" s="160">
        <v>8</v>
      </c>
      <c r="M59" s="19">
        <f t="shared" si="41"/>
        <v>2857.9591836734703</v>
      </c>
      <c r="N59" s="18">
        <f t="shared" si="3"/>
        <v>357.24489795918379</v>
      </c>
      <c r="O59" s="20">
        <f t="shared" si="4"/>
        <v>0</v>
      </c>
      <c r="P59" s="21">
        <f t="shared" si="5"/>
        <v>-17.755102040816212</v>
      </c>
      <c r="Q59" s="158">
        <f t="shared" si="6"/>
        <v>0.95265306122449012</v>
      </c>
      <c r="R59" s="573"/>
      <c r="S59" s="49">
        <v>0.3833333333333333</v>
      </c>
      <c r="T59" s="49">
        <v>0.41736111111111107</v>
      </c>
      <c r="U59" s="157">
        <f t="shared" si="44"/>
        <v>6.9999999999999751</v>
      </c>
      <c r="V59" s="161">
        <f t="shared" si="42"/>
        <v>48.999999999999986</v>
      </c>
      <c r="W59" s="157"/>
      <c r="X59" s="157"/>
      <c r="Y59" s="154"/>
      <c r="Z59" s="154"/>
      <c r="AA59" s="568"/>
      <c r="AB59" s="569"/>
      <c r="AC59" s="50"/>
      <c r="AD59" s="27"/>
      <c r="AE59" s="20">
        <f t="shared" si="43"/>
        <v>-142.04081632652969</v>
      </c>
      <c r="AF59" s="158">
        <f t="shared" si="9"/>
        <v>0.95265306122449012</v>
      </c>
      <c r="AG59" s="573"/>
    </row>
    <row r="60" spans="1:33">
      <c r="A60" s="581" t="s">
        <v>720</v>
      </c>
      <c r="B60" s="39" t="s">
        <v>711</v>
      </c>
      <c r="C60" s="576"/>
      <c r="D60" s="576"/>
      <c r="E60" s="159"/>
      <c r="F60" s="42"/>
      <c r="G60" s="18"/>
      <c r="H60" s="162"/>
      <c r="I60" s="32">
        <v>9.5</v>
      </c>
      <c r="J60" s="43">
        <v>3000</v>
      </c>
      <c r="K60" s="18">
        <f t="shared" si="1"/>
        <v>315.78947368421052</v>
      </c>
      <c r="L60" s="32">
        <v>9.5</v>
      </c>
      <c r="M60" s="19">
        <f>AVERAGE(M54:M59)</f>
        <v>2902.2885151081823</v>
      </c>
      <c r="N60" s="18">
        <f t="shared" si="3"/>
        <v>305.50405422191392</v>
      </c>
      <c r="O60" s="20">
        <f t="shared" si="4"/>
        <v>0</v>
      </c>
      <c r="P60" s="21">
        <f t="shared" si="5"/>
        <v>-10.285419462296602</v>
      </c>
      <c r="Q60" s="158">
        <f t="shared" si="6"/>
        <v>0.96742950503606073</v>
      </c>
      <c r="R60" s="573"/>
      <c r="S60" s="49"/>
      <c r="T60" s="49"/>
      <c r="U60" s="18"/>
      <c r="V60" s="161"/>
      <c r="W60" s="18"/>
      <c r="X60" s="18"/>
      <c r="Y60" s="33">
        <f>SUM(Y54:Y59)</f>
        <v>0</v>
      </c>
      <c r="Z60" s="33">
        <f>SUM(Z54:Z59)</f>
        <v>0</v>
      </c>
      <c r="AA60" s="572"/>
      <c r="AB60" s="572"/>
      <c r="AC60" s="33">
        <f>SUM(AC54:AC59)</f>
        <v>6</v>
      </c>
      <c r="AD60" s="33">
        <f>SUM(AD54:AD59)</f>
        <v>0</v>
      </c>
      <c r="AE60" s="20">
        <f t="shared" si="43"/>
        <v>-97.71148489181769</v>
      </c>
      <c r="AF60" s="158">
        <f t="shared" si="9"/>
        <v>0.96742950503606073</v>
      </c>
      <c r="AG60" s="573"/>
    </row>
    <row r="61" spans="1:33" ht="15.75" customHeight="1">
      <c r="A61" s="577" t="s">
        <v>722</v>
      </c>
      <c r="B61" s="162" t="s">
        <v>94</v>
      </c>
      <c r="C61" s="574" t="s">
        <v>124</v>
      </c>
      <c r="D61" s="574"/>
      <c r="E61" s="39">
        <v>22.69</v>
      </c>
      <c r="F61" s="162">
        <v>4409</v>
      </c>
      <c r="G61" s="157">
        <f t="shared" ref="G61:G68" si="45">E61*F61</f>
        <v>100040.21</v>
      </c>
      <c r="H61" s="48" t="s">
        <v>126</v>
      </c>
      <c r="I61" s="160">
        <v>15</v>
      </c>
      <c r="J61" s="43">
        <v>2400</v>
      </c>
      <c r="K61" s="18">
        <f t="shared" si="1"/>
        <v>160</v>
      </c>
      <c r="L61" s="160">
        <v>15</v>
      </c>
      <c r="M61" s="19">
        <f t="shared" ref="M61:M68" si="46">F61/V61*60</f>
        <v>2300.347826086956</v>
      </c>
      <c r="N61" s="18">
        <f t="shared" si="3"/>
        <v>153.35652173913041</v>
      </c>
      <c r="O61" s="20">
        <f t="shared" si="4"/>
        <v>0</v>
      </c>
      <c r="P61" s="21">
        <f t="shared" si="5"/>
        <v>-6.6434782608695855</v>
      </c>
      <c r="Q61" s="158">
        <f t="shared" si="6"/>
        <v>0.95847826086956511</v>
      </c>
      <c r="R61" s="573">
        <f>Q69</f>
        <v>0.95714605430970046</v>
      </c>
      <c r="S61" s="49">
        <v>8.3333333333333329E-2</v>
      </c>
      <c r="T61" s="49">
        <v>0.16319444444444445</v>
      </c>
      <c r="U61" s="30"/>
      <c r="V61" s="161">
        <f t="shared" ref="V61:V68" si="47">(T61-S61)*24*60</f>
        <v>115.00000000000001</v>
      </c>
      <c r="W61" s="25">
        <f>T61</f>
        <v>0.16319444444444445</v>
      </c>
      <c r="X61" s="25">
        <f>S62</f>
        <v>0.18194444444444444</v>
      </c>
      <c r="Y61" s="25"/>
      <c r="Z61" s="25"/>
      <c r="AA61" s="575"/>
      <c r="AB61" s="575"/>
      <c r="AC61" s="50">
        <v>8</v>
      </c>
      <c r="AD61" s="27"/>
      <c r="AE61" s="20">
        <f t="shared" si="43"/>
        <v>-99.652173913043953</v>
      </c>
      <c r="AF61" s="158">
        <f t="shared" si="9"/>
        <v>0.958478260869565</v>
      </c>
      <c r="AG61" s="573">
        <f>AF69</f>
        <v>0.95714605430970034</v>
      </c>
    </row>
    <row r="62" spans="1:33" ht="15.75" customHeight="1">
      <c r="A62" s="578" t="s">
        <v>722</v>
      </c>
      <c r="B62" s="162" t="s">
        <v>94</v>
      </c>
      <c r="C62" s="574" t="s">
        <v>101</v>
      </c>
      <c r="D62" s="574"/>
      <c r="E62" s="39">
        <v>25.98</v>
      </c>
      <c r="F62" s="162">
        <v>3308</v>
      </c>
      <c r="G62" s="157">
        <f t="shared" si="45"/>
        <v>85941.84</v>
      </c>
      <c r="H62" s="48" t="s">
        <v>126</v>
      </c>
      <c r="I62" s="160">
        <v>19</v>
      </c>
      <c r="J62" s="43">
        <v>2400</v>
      </c>
      <c r="K62" s="18">
        <f t="shared" si="1"/>
        <v>126.31578947368421</v>
      </c>
      <c r="L62" s="160">
        <v>19</v>
      </c>
      <c r="M62" s="19">
        <f t="shared" si="46"/>
        <v>2307.9069767441856</v>
      </c>
      <c r="N62" s="18">
        <f t="shared" si="3"/>
        <v>121.46878824969399</v>
      </c>
      <c r="O62" s="20">
        <f t="shared" si="4"/>
        <v>0</v>
      </c>
      <c r="P62" s="21">
        <f t="shared" si="5"/>
        <v>-4.8470012239902189</v>
      </c>
      <c r="Q62" s="158">
        <f t="shared" si="6"/>
        <v>0.96162790697674405</v>
      </c>
      <c r="R62" s="573"/>
      <c r="S62" s="49">
        <v>0.18194444444444444</v>
      </c>
      <c r="T62" s="49">
        <v>0.24166666666666667</v>
      </c>
      <c r="U62" s="157">
        <f t="shared" ref="U62:U68" si="48">(S62-T61)*24*60</f>
        <v>26.999999999999986</v>
      </c>
      <c r="V62" s="161">
        <f t="shared" si="47"/>
        <v>86.000000000000014</v>
      </c>
      <c r="W62" s="25"/>
      <c r="X62" s="25"/>
      <c r="Y62" s="25"/>
      <c r="Z62" s="25"/>
      <c r="AA62" s="575"/>
      <c r="AB62" s="575"/>
      <c r="AC62" s="50"/>
      <c r="AD62" s="27"/>
      <c r="AE62" s="20">
        <f t="shared" si="43"/>
        <v>-92.093023255814387</v>
      </c>
      <c r="AF62" s="158">
        <f t="shared" si="9"/>
        <v>0.96162790697674405</v>
      </c>
      <c r="AG62" s="573"/>
    </row>
    <row r="63" spans="1:33" ht="15.75" customHeight="1">
      <c r="A63" s="578" t="s">
        <v>722</v>
      </c>
      <c r="B63" s="162" t="s">
        <v>94</v>
      </c>
      <c r="C63" s="574" t="s">
        <v>123</v>
      </c>
      <c r="D63" s="574"/>
      <c r="E63" s="39">
        <v>20.21</v>
      </c>
      <c r="F63" s="162">
        <v>3098</v>
      </c>
      <c r="G63" s="157">
        <f t="shared" si="45"/>
        <v>62610.58</v>
      </c>
      <c r="H63" s="48" t="s">
        <v>126</v>
      </c>
      <c r="I63" s="160">
        <v>15</v>
      </c>
      <c r="J63" s="43">
        <v>2400</v>
      </c>
      <c r="K63" s="18">
        <f t="shared" si="1"/>
        <v>160</v>
      </c>
      <c r="L63" s="160">
        <v>15</v>
      </c>
      <c r="M63" s="19">
        <f t="shared" si="46"/>
        <v>2294.8148148148139</v>
      </c>
      <c r="N63" s="18">
        <f t="shared" si="3"/>
        <v>152.98765432098759</v>
      </c>
      <c r="O63" s="20">
        <f t="shared" si="4"/>
        <v>0</v>
      </c>
      <c r="P63" s="21">
        <f t="shared" si="5"/>
        <v>-7.0123456790124123</v>
      </c>
      <c r="Q63" s="158">
        <f t="shared" si="6"/>
        <v>0.95617283950617238</v>
      </c>
      <c r="R63" s="573"/>
      <c r="S63" s="49">
        <v>0.24722222222222223</v>
      </c>
      <c r="T63" s="49">
        <v>0.30347222222222225</v>
      </c>
      <c r="U63" s="157">
        <f t="shared" si="48"/>
        <v>8.0000000000000107</v>
      </c>
      <c r="V63" s="161">
        <f t="shared" si="47"/>
        <v>81.000000000000028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-105.18518518518613</v>
      </c>
      <c r="AF63" s="158">
        <f t="shared" si="9"/>
        <v>0.95617283950617249</v>
      </c>
      <c r="AG63" s="573"/>
    </row>
    <row r="64" spans="1:33" ht="15.75" customHeight="1">
      <c r="A64" s="578" t="s">
        <v>722</v>
      </c>
      <c r="B64" s="162" t="s">
        <v>94</v>
      </c>
      <c r="C64" s="574" t="s">
        <v>125</v>
      </c>
      <c r="D64" s="574"/>
      <c r="E64" s="39">
        <v>19.02</v>
      </c>
      <c r="F64" s="162">
        <v>5600</v>
      </c>
      <c r="G64" s="157">
        <f t="shared" si="45"/>
        <v>106512</v>
      </c>
      <c r="H64" s="48">
        <v>2</v>
      </c>
      <c r="I64" s="160">
        <v>14</v>
      </c>
      <c r="J64" s="43">
        <v>2400</v>
      </c>
      <c r="K64" s="18">
        <f t="shared" si="1"/>
        <v>171.42857142857142</v>
      </c>
      <c r="L64" s="160">
        <v>14</v>
      </c>
      <c r="M64" s="19">
        <f t="shared" si="46"/>
        <v>2285.7142857142853</v>
      </c>
      <c r="N64" s="18">
        <f t="shared" si="3"/>
        <v>163.26530612244895</v>
      </c>
      <c r="O64" s="20">
        <f t="shared" si="4"/>
        <v>0</v>
      </c>
      <c r="P64" s="21">
        <f t="shared" si="5"/>
        <v>-8.1632653061224687</v>
      </c>
      <c r="Q64" s="158">
        <f t="shared" si="6"/>
        <v>0.95238095238095222</v>
      </c>
      <c r="R64" s="573"/>
      <c r="S64" s="49">
        <v>0.30833333333333335</v>
      </c>
      <c r="T64" s="49">
        <v>0.41041666666666671</v>
      </c>
      <c r="U64" s="157">
        <f t="shared" si="48"/>
        <v>6.9999999999999751</v>
      </c>
      <c r="V64" s="161">
        <f t="shared" si="47"/>
        <v>147.00000000000003</v>
      </c>
      <c r="W64" s="25"/>
      <c r="X64" s="25"/>
      <c r="Y64" s="25"/>
      <c r="Z64" s="25"/>
      <c r="AA64" s="575"/>
      <c r="AB64" s="575"/>
      <c r="AC64" s="50"/>
      <c r="AD64" s="27"/>
      <c r="AE64" s="20">
        <f t="shared" si="43"/>
        <v>-114.28571428571468</v>
      </c>
      <c r="AF64" s="158">
        <f t="shared" si="9"/>
        <v>0.95238095238095222</v>
      </c>
      <c r="AG64" s="573"/>
    </row>
    <row r="65" spans="1:33" ht="15.75" customHeight="1">
      <c r="A65" s="578" t="s">
        <v>722</v>
      </c>
      <c r="B65" s="162" t="s">
        <v>94</v>
      </c>
      <c r="C65" s="574" t="s">
        <v>99</v>
      </c>
      <c r="D65" s="574"/>
      <c r="E65" s="39">
        <v>20.36</v>
      </c>
      <c r="F65" s="162">
        <v>4000</v>
      </c>
      <c r="G65" s="157">
        <f t="shared" si="45"/>
        <v>81440</v>
      </c>
      <c r="H65" s="48">
        <v>2</v>
      </c>
      <c r="I65" s="160">
        <v>18</v>
      </c>
      <c r="J65" s="43">
        <v>2400</v>
      </c>
      <c r="K65" s="18">
        <f t="shared" si="1"/>
        <v>133.33333333333334</v>
      </c>
      <c r="L65" s="160">
        <v>18</v>
      </c>
      <c r="M65" s="19">
        <f t="shared" si="46"/>
        <v>2285.7142857142853</v>
      </c>
      <c r="N65" s="18">
        <f t="shared" si="3"/>
        <v>126.98412698412696</v>
      </c>
      <c r="O65" s="20">
        <f t="shared" si="4"/>
        <v>0</v>
      </c>
      <c r="P65" s="21">
        <f t="shared" si="5"/>
        <v>-6.3492063492063835</v>
      </c>
      <c r="Q65" s="158">
        <f t="shared" si="6"/>
        <v>0.95238095238095211</v>
      </c>
      <c r="R65" s="573"/>
      <c r="S65" s="49">
        <v>0.4152777777777778</v>
      </c>
      <c r="T65" s="49">
        <v>0.48819444444444449</v>
      </c>
      <c r="U65" s="157">
        <f t="shared" si="48"/>
        <v>6.9999999999999751</v>
      </c>
      <c r="V65" s="161">
        <f t="shared" si="47"/>
        <v>105.00000000000003</v>
      </c>
      <c r="W65" s="25">
        <f>T65</f>
        <v>0.48819444444444449</v>
      </c>
      <c r="X65" s="25">
        <f>S66</f>
        <v>0.52847222222222223</v>
      </c>
      <c r="Y65" s="25"/>
      <c r="Z65" s="25"/>
      <c r="AA65" s="575"/>
      <c r="AB65" s="575"/>
      <c r="AC65" s="50"/>
      <c r="AD65" s="27"/>
      <c r="AE65" s="20">
        <f t="shared" si="43"/>
        <v>-114.28571428571468</v>
      </c>
      <c r="AF65" s="158">
        <f t="shared" si="9"/>
        <v>0.95238095238095222</v>
      </c>
      <c r="AG65" s="573"/>
    </row>
    <row r="66" spans="1:33" ht="15.75" customHeight="1">
      <c r="A66" s="578" t="s">
        <v>722</v>
      </c>
      <c r="B66" s="162" t="s">
        <v>94</v>
      </c>
      <c r="C66" s="574" t="s">
        <v>125</v>
      </c>
      <c r="D66" s="574"/>
      <c r="E66" s="39">
        <v>19.02</v>
      </c>
      <c r="F66" s="162">
        <v>4406</v>
      </c>
      <c r="G66" s="157">
        <f t="shared" si="45"/>
        <v>83802.12</v>
      </c>
      <c r="H66" s="48" t="s">
        <v>126</v>
      </c>
      <c r="I66" s="160">
        <v>14</v>
      </c>
      <c r="J66" s="43">
        <v>2400</v>
      </c>
      <c r="K66" s="18">
        <f t="shared" si="1"/>
        <v>171.42857142857142</v>
      </c>
      <c r="L66" s="160">
        <v>14</v>
      </c>
      <c r="M66" s="19">
        <f t="shared" si="46"/>
        <v>2298.7826086956507</v>
      </c>
      <c r="N66" s="18">
        <f t="shared" si="3"/>
        <v>164.19875776397504</v>
      </c>
      <c r="O66" s="20">
        <f t="shared" si="4"/>
        <v>0</v>
      </c>
      <c r="P66" s="21">
        <f t="shared" si="5"/>
        <v>-7.229813664596378</v>
      </c>
      <c r="Q66" s="158">
        <f t="shared" si="6"/>
        <v>0.95782608695652116</v>
      </c>
      <c r="R66" s="573"/>
      <c r="S66" s="49">
        <v>0.52847222222222223</v>
      </c>
      <c r="T66" s="49">
        <v>0.60833333333333339</v>
      </c>
      <c r="U66" s="157">
        <f t="shared" si="48"/>
        <v>57.999999999999957</v>
      </c>
      <c r="V66" s="161">
        <f t="shared" si="47"/>
        <v>115.00000000000007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-101.21739130434935</v>
      </c>
      <c r="AF66" s="158">
        <f t="shared" si="9"/>
        <v>0.95782608695652105</v>
      </c>
      <c r="AG66" s="573"/>
    </row>
    <row r="67" spans="1:33" ht="15.75" customHeight="1">
      <c r="A67" s="578" t="s">
        <v>722</v>
      </c>
      <c r="B67" s="162" t="s">
        <v>94</v>
      </c>
      <c r="C67" s="566" t="s">
        <v>99</v>
      </c>
      <c r="D67" s="567"/>
      <c r="E67" s="39">
        <v>20.36</v>
      </c>
      <c r="F67" s="162">
        <v>2916</v>
      </c>
      <c r="G67" s="157">
        <f t="shared" si="45"/>
        <v>59369.759999999995</v>
      </c>
      <c r="H67" s="48" t="s">
        <v>126</v>
      </c>
      <c r="I67" s="160">
        <v>18</v>
      </c>
      <c r="J67" s="43">
        <v>2400</v>
      </c>
      <c r="K67" s="18">
        <f t="shared" si="1"/>
        <v>133.33333333333334</v>
      </c>
      <c r="L67" s="160">
        <v>18</v>
      </c>
      <c r="M67" s="19">
        <f t="shared" si="46"/>
        <v>2302.1052631578928</v>
      </c>
      <c r="N67" s="18">
        <f t="shared" si="3"/>
        <v>127.89473684210515</v>
      </c>
      <c r="O67" s="20">
        <f t="shared" si="4"/>
        <v>0</v>
      </c>
      <c r="P67" s="21">
        <f t="shared" si="5"/>
        <v>-5.4385964912281963</v>
      </c>
      <c r="Q67" s="158">
        <f t="shared" si="6"/>
        <v>0.95921052631578851</v>
      </c>
      <c r="R67" s="573"/>
      <c r="S67" s="49">
        <v>0.61319444444444449</v>
      </c>
      <c r="T67" s="49">
        <v>0.6659722222222223</v>
      </c>
      <c r="U67" s="157">
        <f t="shared" si="48"/>
        <v>6.9999999999999751</v>
      </c>
      <c r="V67" s="161">
        <f t="shared" si="47"/>
        <v>76.000000000000057</v>
      </c>
      <c r="W67" s="25"/>
      <c r="X67" s="25"/>
      <c r="Y67" s="28"/>
      <c r="Z67" s="28"/>
      <c r="AA67" s="568"/>
      <c r="AB67" s="569"/>
      <c r="AC67" s="50"/>
      <c r="AD67" s="27"/>
      <c r="AE67" s="20">
        <f t="shared" si="43"/>
        <v>-97.89473684210725</v>
      </c>
      <c r="AF67" s="158">
        <f t="shared" si="9"/>
        <v>0.95921052631578863</v>
      </c>
      <c r="AG67" s="573"/>
    </row>
    <row r="68" spans="1:33" ht="15.75" customHeight="1">
      <c r="A68" s="578" t="s">
        <v>722</v>
      </c>
      <c r="B68" s="162" t="s">
        <v>94</v>
      </c>
      <c r="C68" s="566" t="s">
        <v>100</v>
      </c>
      <c r="D68" s="567"/>
      <c r="E68" s="39">
        <v>24.43</v>
      </c>
      <c r="F68" s="162">
        <v>2532</v>
      </c>
      <c r="G68" s="157">
        <f t="shared" si="45"/>
        <v>61856.76</v>
      </c>
      <c r="H68" s="48" t="s">
        <v>126</v>
      </c>
      <c r="I68" s="160">
        <v>14</v>
      </c>
      <c r="J68" s="43">
        <v>2400</v>
      </c>
      <c r="K68" s="18">
        <f t="shared" si="1"/>
        <v>171.42857142857142</v>
      </c>
      <c r="L68" s="160">
        <v>14</v>
      </c>
      <c r="M68" s="19">
        <f t="shared" si="46"/>
        <v>2301.8181818181793</v>
      </c>
      <c r="N68" s="18">
        <f t="shared" si="3"/>
        <v>164.41558441558422</v>
      </c>
      <c r="O68" s="20">
        <f t="shared" si="4"/>
        <v>0</v>
      </c>
      <c r="P68" s="21">
        <f t="shared" si="5"/>
        <v>-7.0129870129871961</v>
      </c>
      <c r="Q68" s="158">
        <f t="shared" si="6"/>
        <v>0.95909090909090799</v>
      </c>
      <c r="R68" s="573"/>
      <c r="S68" s="49">
        <v>0.66944444444444451</v>
      </c>
      <c r="T68" s="49">
        <v>0.7152777777777779</v>
      </c>
      <c r="U68" s="157">
        <f t="shared" si="48"/>
        <v>4.9999999999999822</v>
      </c>
      <c r="V68" s="161">
        <f t="shared" si="47"/>
        <v>66.000000000000085</v>
      </c>
      <c r="W68" s="25"/>
      <c r="X68" s="25"/>
      <c r="Y68" s="28"/>
      <c r="Z68" s="28"/>
      <c r="AA68" s="568"/>
      <c r="AB68" s="569"/>
      <c r="AC68" s="50"/>
      <c r="AD68" s="27"/>
      <c r="AE68" s="20">
        <f t="shared" si="43"/>
        <v>-98.181818181820745</v>
      </c>
      <c r="AF68" s="158">
        <f t="shared" si="9"/>
        <v>0.95909090909090799</v>
      </c>
      <c r="AG68" s="573"/>
    </row>
    <row r="69" spans="1:33" ht="16.5" customHeight="1">
      <c r="A69" s="579" t="s">
        <v>722</v>
      </c>
      <c r="B69" s="39" t="s">
        <v>711</v>
      </c>
      <c r="C69" s="570"/>
      <c r="D69" s="571"/>
      <c r="E69" s="159"/>
      <c r="F69" s="42"/>
      <c r="G69" s="18"/>
      <c r="H69" s="162"/>
      <c r="I69" s="32">
        <v>15.875</v>
      </c>
      <c r="J69" s="43">
        <v>2400</v>
      </c>
      <c r="K69" s="18">
        <f t="shared" ref="K69" si="49">J69/I69</f>
        <v>151.18110236220471</v>
      </c>
      <c r="L69" s="32">
        <v>15.875</v>
      </c>
      <c r="M69" s="19">
        <f>AVERAGE(M61:M68)</f>
        <v>2297.1505303432809</v>
      </c>
      <c r="N69" s="18">
        <f t="shared" ref="N69" si="50">M69/L69</f>
        <v>144.70239561217517</v>
      </c>
      <c r="O69" s="20">
        <f t="shared" ref="O69" si="51">L69-I69</f>
        <v>0</v>
      </c>
      <c r="P69" s="21">
        <f t="shared" ref="P69" si="52">N69-K69</f>
        <v>-6.478706750029545</v>
      </c>
      <c r="Q69" s="158">
        <f t="shared" ref="Q69" si="53">N69/K69</f>
        <v>0.95714605430970046</v>
      </c>
      <c r="R69" s="573"/>
      <c r="S69" s="49"/>
      <c r="T69" s="49"/>
      <c r="U69" s="18"/>
      <c r="V69" s="161"/>
      <c r="W69" s="18"/>
      <c r="X69" s="18"/>
      <c r="Y69" s="33">
        <f>SUM(Y61:Y68)</f>
        <v>0</v>
      </c>
      <c r="Z69" s="33">
        <f>SUM(Z61:Z68)</f>
        <v>0</v>
      </c>
      <c r="AA69" s="572"/>
      <c r="AB69" s="572"/>
      <c r="AC69" s="33">
        <f>SUM(AC61:AC68)</f>
        <v>8</v>
      </c>
      <c r="AD69" s="33">
        <f>SUM(AD61:AD68)</f>
        <v>0</v>
      </c>
      <c r="AE69" s="20">
        <f t="shared" si="43"/>
        <v>-102.84946965671907</v>
      </c>
      <c r="AF69" s="158">
        <f t="shared" ref="AF69" si="54">M69/J69</f>
        <v>0.95714605430970034</v>
      </c>
      <c r="AG69" s="573"/>
    </row>
    <row r="70" spans="1:33">
      <c r="D70" s="35"/>
      <c r="E70" s="35"/>
    </row>
  </sheetData>
  <mergeCells count="191">
    <mergeCell ref="AG61:AG69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1:A69"/>
    <mergeCell ref="C61:D61"/>
    <mergeCell ref="R61:R69"/>
    <mergeCell ref="AA61:AB61"/>
    <mergeCell ref="AA66:AB66"/>
    <mergeCell ref="C67:D67"/>
    <mergeCell ref="AA67:AB67"/>
    <mergeCell ref="C68:D68"/>
    <mergeCell ref="AA68:AB68"/>
    <mergeCell ref="C69:D69"/>
    <mergeCell ref="AA69:AB69"/>
    <mergeCell ref="A54:A60"/>
    <mergeCell ref="C54:D54"/>
    <mergeCell ref="R54:R60"/>
    <mergeCell ref="AA54:AB54"/>
    <mergeCell ref="C60:D60"/>
    <mergeCell ref="AA60:AB60"/>
    <mergeCell ref="A46:A53"/>
    <mergeCell ref="C46:D46"/>
    <mergeCell ref="R46:R53"/>
    <mergeCell ref="AA46:AB46"/>
    <mergeCell ref="AA52:AB52"/>
    <mergeCell ref="C53:D53"/>
    <mergeCell ref="AG54:AG60"/>
    <mergeCell ref="C55:D55"/>
    <mergeCell ref="AA55:AB55"/>
    <mergeCell ref="C56:D56"/>
    <mergeCell ref="AA56:AB56"/>
    <mergeCell ref="AG46:AG53"/>
    <mergeCell ref="C47:D47"/>
    <mergeCell ref="AA47:AB47"/>
    <mergeCell ref="C48:D48"/>
    <mergeCell ref="AA48:AB48"/>
    <mergeCell ref="AA49:AB49"/>
    <mergeCell ref="AA50:AB50"/>
    <mergeCell ref="C51:D51"/>
    <mergeCell ref="AA51:AB51"/>
    <mergeCell ref="C52:D52"/>
    <mergeCell ref="C57:D57"/>
    <mergeCell ref="AA57:AB57"/>
    <mergeCell ref="C58:D58"/>
    <mergeCell ref="AA58:AB58"/>
    <mergeCell ref="C59:D59"/>
    <mergeCell ref="AA59:AB59"/>
    <mergeCell ref="AA53:AB53"/>
    <mergeCell ref="AG33:AG40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41:A45"/>
    <mergeCell ref="C41:D41"/>
    <mergeCell ref="R41:R45"/>
    <mergeCell ref="AA41:AB41"/>
    <mergeCell ref="AG41:AG45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A25:A32"/>
    <mergeCell ref="C25:D25"/>
    <mergeCell ref="R25:R32"/>
    <mergeCell ref="AA25:AB25"/>
    <mergeCell ref="C32:D32"/>
    <mergeCell ref="AA32:AB32"/>
    <mergeCell ref="A33:A40"/>
    <mergeCell ref="C33:D33"/>
    <mergeCell ref="R33:R40"/>
    <mergeCell ref="AA33:AB33"/>
    <mergeCell ref="AA38:AB38"/>
    <mergeCell ref="C39:D39"/>
    <mergeCell ref="AA39:AB39"/>
    <mergeCell ref="C40:D40"/>
    <mergeCell ref="AA40:AB40"/>
    <mergeCell ref="AG25:AG32"/>
    <mergeCell ref="C26:D26"/>
    <mergeCell ref="AA26:AB26"/>
    <mergeCell ref="C27:D27"/>
    <mergeCell ref="AA27:AB27"/>
    <mergeCell ref="C28:D28"/>
    <mergeCell ref="AG18:AG24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8:AB28"/>
    <mergeCell ref="C29:D29"/>
    <mergeCell ref="AA29:AB29"/>
    <mergeCell ref="C30:D30"/>
    <mergeCell ref="AA30:AB30"/>
    <mergeCell ref="C31:D31"/>
    <mergeCell ref="AA31:AB31"/>
    <mergeCell ref="A18:A24"/>
    <mergeCell ref="C18:D18"/>
    <mergeCell ref="R18:R24"/>
    <mergeCell ref="AA18:AB18"/>
    <mergeCell ref="AA23:AB23"/>
    <mergeCell ref="C24:D24"/>
    <mergeCell ref="AA24:AB24"/>
    <mergeCell ref="A13:A17"/>
    <mergeCell ref="C13:D13"/>
    <mergeCell ref="R13:R17"/>
    <mergeCell ref="AA13:AB13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7:O66 O53:O54 O69 O5:O10 O12:O14 O17:O51">
    <cfRule type="cellIs" dxfId="438" priority="46" operator="greaterThan">
      <formula>0</formula>
    </cfRule>
  </conditionalFormatting>
  <conditionalFormatting sqref="P5:P8 P57:P59 AE57:AE59 P61:P66 P25:P31 P54 P10 P12:P14 P18:P23 P46:P51 P33:P44 AE5:AE54 AE61:AE69">
    <cfRule type="cellIs" dxfId="437" priority="50" operator="lessThan">
      <formula>0</formula>
    </cfRule>
  </conditionalFormatting>
  <conditionalFormatting sqref="AF57:AF59 Q57:Q66 Q53:Q54 Q69 Q5:Q10 Q12:Q14 Q17:Q51 AF5:AF54 AF61:AF69">
    <cfRule type="cellIs" dxfId="436" priority="47" operator="greaterThan">
      <formula>1</formula>
    </cfRule>
    <cfRule type="cellIs" dxfId="435" priority="48" operator="lessThan">
      <formula>0.8</formula>
    </cfRule>
  </conditionalFormatting>
  <conditionalFormatting sqref="AG13:AG14 R13:R14 AG57 R57:R66 AG53:AG54 R53:R54 R69 AG5:AG10 R5:R10 AG17:AG51 R17:R51">
    <cfRule type="cellIs" dxfId="434" priority="52" operator="lessThan">
      <formula>0.8</formula>
    </cfRule>
  </conditionalFormatting>
  <conditionalFormatting sqref="AG41">
    <cfRule type="cellIs" dxfId="433" priority="54" operator="lessThan">
      <formula>0.8</formula>
    </cfRule>
  </conditionalFormatting>
  <conditionalFormatting sqref="AG18:AG23">
    <cfRule type="cellIs" dxfId="432" priority="51" operator="lessThan">
      <formula>0.8</formula>
    </cfRule>
  </conditionalFormatting>
  <conditionalFormatting sqref="AG25">
    <cfRule type="cellIs" dxfId="431" priority="53" operator="lessThan">
      <formula>0.8</formula>
    </cfRule>
  </conditionalFormatting>
  <conditionalFormatting sqref="AG33:AG39">
    <cfRule type="cellIs" dxfId="430" priority="49" operator="lessThan">
      <formula>0.8</formula>
    </cfRule>
  </conditionalFormatting>
  <conditionalFormatting sqref="AE60">
    <cfRule type="cellIs" dxfId="429" priority="45" operator="lessThan">
      <formula>0</formula>
    </cfRule>
  </conditionalFormatting>
  <conditionalFormatting sqref="AF60">
    <cfRule type="cellIs" dxfId="428" priority="43" operator="greaterThan">
      <formula>1</formula>
    </cfRule>
    <cfRule type="cellIs" dxfId="427" priority="44" operator="lessThan">
      <formula>0.8</formula>
    </cfRule>
  </conditionalFormatting>
  <conditionalFormatting sqref="O15:O16">
    <cfRule type="cellIs" dxfId="426" priority="38" operator="greaterThan">
      <formula>0</formula>
    </cfRule>
  </conditionalFormatting>
  <conditionalFormatting sqref="P15:P16">
    <cfRule type="cellIs" dxfId="425" priority="41" operator="lessThan">
      <formula>0</formula>
    </cfRule>
  </conditionalFormatting>
  <conditionalFormatting sqref="Q15:Q16">
    <cfRule type="cellIs" dxfId="424" priority="39" operator="greaterThan">
      <formula>1</formula>
    </cfRule>
    <cfRule type="cellIs" dxfId="423" priority="40" operator="lessThan">
      <formula>0.8</formula>
    </cfRule>
  </conditionalFormatting>
  <conditionalFormatting sqref="R15:R16 AG15:AG16">
    <cfRule type="cellIs" dxfId="422" priority="42" operator="lessThan">
      <formula>0.8</formula>
    </cfRule>
  </conditionalFormatting>
  <conditionalFormatting sqref="O11">
    <cfRule type="cellIs" dxfId="421" priority="34" operator="greaterThan">
      <formula>0</formula>
    </cfRule>
  </conditionalFormatting>
  <conditionalFormatting sqref="P11">
    <cfRule type="cellIs" dxfId="420" priority="37" operator="lessThan">
      <formula>0</formula>
    </cfRule>
  </conditionalFormatting>
  <conditionalFormatting sqref="Q11">
    <cfRule type="cellIs" dxfId="419" priority="35" operator="greaterThan">
      <formula>1</formula>
    </cfRule>
    <cfRule type="cellIs" dxfId="418" priority="36" operator="lessThan">
      <formula>0.8</formula>
    </cfRule>
  </conditionalFormatting>
  <conditionalFormatting sqref="O52">
    <cfRule type="cellIs" dxfId="417" priority="29" operator="greaterThan">
      <formula>0</formula>
    </cfRule>
  </conditionalFormatting>
  <conditionalFormatting sqref="P52">
    <cfRule type="cellIs" dxfId="416" priority="32" operator="lessThan">
      <formula>0</formula>
    </cfRule>
  </conditionalFormatting>
  <conditionalFormatting sqref="Q52">
    <cfRule type="cellIs" dxfId="415" priority="30" operator="greaterThan">
      <formula>1</formula>
    </cfRule>
    <cfRule type="cellIs" dxfId="414" priority="31" operator="lessThan">
      <formula>0.8</formula>
    </cfRule>
  </conditionalFormatting>
  <conditionalFormatting sqref="R52 AG52">
    <cfRule type="cellIs" dxfId="413" priority="33" operator="lessThan">
      <formula>0.8</formula>
    </cfRule>
  </conditionalFormatting>
  <conditionalFormatting sqref="O56">
    <cfRule type="cellIs" dxfId="412" priority="24" operator="greaterThan">
      <formula>0</formula>
    </cfRule>
  </conditionalFormatting>
  <conditionalFormatting sqref="P56 AE56">
    <cfRule type="cellIs" dxfId="411" priority="27" operator="lessThan">
      <formula>0</formula>
    </cfRule>
  </conditionalFormatting>
  <conditionalFormatting sqref="Q56 AF56">
    <cfRule type="cellIs" dxfId="410" priority="25" operator="greaterThan">
      <formula>1</formula>
    </cfRule>
    <cfRule type="cellIs" dxfId="409" priority="26" operator="lessThan">
      <formula>0.8</formula>
    </cfRule>
  </conditionalFormatting>
  <conditionalFormatting sqref="R56 AG56">
    <cfRule type="cellIs" dxfId="408" priority="28" operator="lessThan">
      <formula>0.8</formula>
    </cfRule>
  </conditionalFormatting>
  <conditionalFormatting sqref="O67">
    <cfRule type="cellIs" dxfId="407" priority="19" operator="greaterThan">
      <formula>0</formula>
    </cfRule>
  </conditionalFormatting>
  <conditionalFormatting sqref="P67">
    <cfRule type="cellIs" dxfId="406" priority="22" operator="lessThan">
      <formula>0</formula>
    </cfRule>
  </conditionalFormatting>
  <conditionalFormatting sqref="Q67">
    <cfRule type="cellIs" dxfId="405" priority="20" operator="greaterThan">
      <formula>1</formula>
    </cfRule>
    <cfRule type="cellIs" dxfId="404" priority="21" operator="lessThan">
      <formula>0.8</formula>
    </cfRule>
  </conditionalFormatting>
  <conditionalFormatting sqref="R67">
    <cfRule type="cellIs" dxfId="403" priority="23" operator="lessThan">
      <formula>0.8</formula>
    </cfRule>
  </conditionalFormatting>
  <conditionalFormatting sqref="O55">
    <cfRule type="cellIs" dxfId="402" priority="14" operator="greaterThan">
      <formula>0</formula>
    </cfRule>
  </conditionalFormatting>
  <conditionalFormatting sqref="P55 AE55">
    <cfRule type="cellIs" dxfId="401" priority="17" operator="lessThan">
      <formula>0</formula>
    </cfRule>
  </conditionalFormatting>
  <conditionalFormatting sqref="Q55 AF55">
    <cfRule type="cellIs" dxfId="400" priority="15" operator="greaterThan">
      <formula>1</formula>
    </cfRule>
    <cfRule type="cellIs" dxfId="399" priority="16" operator="lessThan">
      <formula>0.8</formula>
    </cfRule>
  </conditionalFormatting>
  <conditionalFormatting sqref="R55 AG55">
    <cfRule type="cellIs" dxfId="398" priority="18" operator="lessThan">
      <formula>0.8</formula>
    </cfRule>
  </conditionalFormatting>
  <conditionalFormatting sqref="P9">
    <cfRule type="cellIs" dxfId="397" priority="13" operator="lessThan">
      <formula>0</formula>
    </cfRule>
  </conditionalFormatting>
  <conditionalFormatting sqref="P17">
    <cfRule type="cellIs" dxfId="396" priority="12" operator="lessThan">
      <formula>0</formula>
    </cfRule>
  </conditionalFormatting>
  <conditionalFormatting sqref="P24">
    <cfRule type="cellIs" dxfId="395" priority="11" operator="lessThan">
      <formula>0</formula>
    </cfRule>
  </conditionalFormatting>
  <conditionalFormatting sqref="P32">
    <cfRule type="cellIs" dxfId="394" priority="10" operator="lessThan">
      <formula>0</formula>
    </cfRule>
  </conditionalFormatting>
  <conditionalFormatting sqref="P45">
    <cfRule type="cellIs" dxfId="393" priority="9" operator="lessThan">
      <formula>0</formula>
    </cfRule>
  </conditionalFormatting>
  <conditionalFormatting sqref="P53">
    <cfRule type="cellIs" dxfId="392" priority="8" operator="lessThan">
      <formula>0</formula>
    </cfRule>
  </conditionalFormatting>
  <conditionalFormatting sqref="P60">
    <cfRule type="cellIs" dxfId="391" priority="7" operator="lessThan">
      <formula>0</formula>
    </cfRule>
  </conditionalFormatting>
  <conditionalFormatting sqref="P69">
    <cfRule type="cellIs" dxfId="390" priority="6" operator="lessThan">
      <formula>0</formula>
    </cfRule>
  </conditionalFormatting>
  <conditionalFormatting sqref="O68">
    <cfRule type="cellIs" dxfId="389" priority="1" operator="greaterThan">
      <formula>0</formula>
    </cfRule>
  </conditionalFormatting>
  <conditionalFormatting sqref="P68">
    <cfRule type="cellIs" dxfId="388" priority="4" operator="lessThan">
      <formula>0</formula>
    </cfRule>
  </conditionalFormatting>
  <conditionalFormatting sqref="Q68">
    <cfRule type="cellIs" dxfId="387" priority="2" operator="greaterThan">
      <formula>1</formula>
    </cfRule>
    <cfRule type="cellIs" dxfId="386" priority="3" operator="lessThan">
      <formula>0.8</formula>
    </cfRule>
  </conditionalFormatting>
  <conditionalFormatting sqref="R68">
    <cfRule type="cellIs" dxfId="385" priority="5" operator="lessThan">
      <formula>0.8</formula>
    </cfRule>
  </conditionalFormatting>
  <dataValidations count="1">
    <dataValidation type="list" allowBlank="1" showInputMessage="1" showErrorMessage="1" sqref="AB9 AA5:AB8 AB58:AB59 AA9:AA59 AB11:AB54 AA60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531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532</v>
      </c>
      <c r="C3" s="555" t="str">
        <f>TEXT('0506 4度C'!A2,"yyyy.mm.ddaaaa")</f>
        <v>2026.05.06星期三</v>
      </c>
      <c r="D3" s="556"/>
      <c r="E3" s="54" t="s">
        <v>533</v>
      </c>
      <c r="F3" s="557">
        <f>'0506 4度C'!D1</f>
        <v>173498</v>
      </c>
      <c r="G3" s="558"/>
      <c r="H3" s="54" t="s">
        <v>534</v>
      </c>
      <c r="I3" s="559">
        <f>'0506 4度C'!F1</f>
        <v>5805064.379999999</v>
      </c>
      <c r="J3" s="560"/>
      <c r="K3" s="55"/>
      <c r="L3" s="56"/>
      <c r="M3" s="57"/>
      <c r="N3" s="57"/>
    </row>
    <row r="4" spans="2:17" ht="28.5" customHeight="1">
      <c r="B4" s="561" t="s">
        <v>535</v>
      </c>
      <c r="C4" s="547" t="s">
        <v>536</v>
      </c>
      <c r="D4" s="548"/>
      <c r="E4" s="564" t="s">
        <v>537</v>
      </c>
      <c r="F4" s="565"/>
      <c r="G4" s="564" t="s">
        <v>538</v>
      </c>
      <c r="H4" s="565"/>
      <c r="I4" s="564" t="s">
        <v>539</v>
      </c>
      <c r="J4" s="565"/>
      <c r="K4" s="545" t="s">
        <v>540</v>
      </c>
      <c r="L4" s="546"/>
      <c r="M4" s="546" t="s">
        <v>541</v>
      </c>
      <c r="N4" s="546"/>
    </row>
    <row r="5" spans="2:17" ht="28.5" customHeight="1">
      <c r="B5" s="562"/>
      <c r="C5" s="547" t="s">
        <v>542</v>
      </c>
      <c r="D5" s="548"/>
      <c r="E5" s="547" t="s">
        <v>543</v>
      </c>
      <c r="F5" s="548"/>
      <c r="G5" s="549" t="s">
        <v>544</v>
      </c>
      <c r="H5" s="550"/>
      <c r="I5" s="551" t="s">
        <v>545</v>
      </c>
      <c r="J5" s="552"/>
      <c r="K5" s="58" t="s">
        <v>546</v>
      </c>
      <c r="L5" s="59" t="s">
        <v>207</v>
      </c>
      <c r="M5" s="58" t="s">
        <v>547</v>
      </c>
      <c r="N5" s="59" t="s">
        <v>548</v>
      </c>
    </row>
    <row r="6" spans="2:17" ht="28.5" customHeight="1">
      <c r="B6" s="562"/>
      <c r="C6" s="547" t="s">
        <v>145</v>
      </c>
      <c r="D6" s="548"/>
      <c r="E6" s="539">
        <f>AVERAGE(D13:M13)</f>
        <v>151.07671116101159</v>
      </c>
      <c r="F6" s="540">
        <f>AVERAGE(D31:O31,D13:J13)</f>
        <v>157.01372583759914</v>
      </c>
      <c r="G6" s="541">
        <f>AVERAGE(D13:J13)</f>
        <v>157.01372583759914</v>
      </c>
      <c r="H6" s="542"/>
      <c r="I6" s="541">
        <f>AVERAGE(K13:M13)</f>
        <v>137.22367691564071</v>
      </c>
      <c r="J6" s="542"/>
      <c r="K6" s="543">
        <f>'0506 4度C'!Y2</f>
        <v>0</v>
      </c>
      <c r="L6" s="528">
        <f>'0506 4度C'!Z2</f>
        <v>0</v>
      </c>
      <c r="M6" s="544">
        <f>'0506 4度C'!AC2</f>
        <v>56</v>
      </c>
      <c r="N6" s="528">
        <f>'0506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144.61871860533708</v>
      </c>
      <c r="F7" s="532">
        <f>AVERAGE(D32:O32,D14:J14)</f>
        <v>150.33541169657698</v>
      </c>
      <c r="G7" s="533">
        <f>AVERAGE(D14:J14)</f>
        <v>150.33541169657698</v>
      </c>
      <c r="H7" s="534"/>
      <c r="I7" s="533">
        <f>AVERAGE(K14:M14)</f>
        <v>131.27976805911058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0.95717026973199926</v>
      </c>
      <c r="F8" s="536">
        <f>AVERAGE(D15:J15,D33:O33)</f>
        <v>0.95738395543106858</v>
      </c>
      <c r="G8" s="537">
        <f>AVERAGE(D15:J15)</f>
        <v>0.95738395543106858</v>
      </c>
      <c r="H8" s="538"/>
      <c r="I8" s="537">
        <f>AVERAGE(K15:M15)</f>
        <v>0.95667166976750417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549</v>
      </c>
      <c r="N9" s="57"/>
      <c r="O9" s="57"/>
      <c r="P9" s="57"/>
      <c r="Q9" s="57"/>
    </row>
    <row r="10" spans="2:17" ht="30" customHeight="1">
      <c r="B10" s="511" t="s">
        <v>550</v>
      </c>
      <c r="C10" s="512"/>
      <c r="D10" s="513" t="s">
        <v>551</v>
      </c>
      <c r="E10" s="514"/>
      <c r="F10" s="514"/>
      <c r="G10" s="514"/>
      <c r="H10" s="514"/>
      <c r="I10" s="514"/>
      <c r="J10" s="515"/>
      <c r="K10" s="516" t="s">
        <v>552</v>
      </c>
      <c r="L10" s="517"/>
      <c r="M10" s="518"/>
      <c r="P10" s="63"/>
      <c r="Q10" s="63"/>
    </row>
    <row r="11" spans="2:17" ht="17.25" customHeight="1">
      <c r="B11" s="519" t="s">
        <v>553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554</v>
      </c>
      <c r="C13" s="70" t="s">
        <v>555</v>
      </c>
      <c r="D13" s="71">
        <f>SUMIFS('0506 4度C'!$K:$K,'0506 4度C'!$A:$A,"新豐6線",'0506 4度C'!$B:$B,"平均")</f>
        <v>119.40298507462687</v>
      </c>
      <c r="E13" s="72">
        <f>SUMIFS('0506 4度C'!$K:$K,'0506 4度C'!$A:$A,"新豐2線",'0506 4度C'!$B:$B,"平均")</f>
        <v>83.333333333333329</v>
      </c>
      <c r="F13" s="73">
        <f>SUMIFS('0506 4度C'!$K:$K,'0506 4度C'!$A:$A,"新豐5線",'0506 4度C'!$B:$B,"平均")</f>
        <v>100</v>
      </c>
      <c r="G13" s="73">
        <f>SUMIFS('0506 4度C'!$K:$K,'0506 4度C'!$A:$A,"新豐7線",'0506 4度C'!$B:$B,"平均")</f>
        <v>121.05263157894737</v>
      </c>
      <c r="H13" s="73">
        <f>SUMIFS('0506 4度C'!$K:$K,'0506 4度C'!$A:$A,"新豐3線",'0506 4度C'!$B:$B,"平均")</f>
        <v>255.81395348837211</v>
      </c>
      <c r="I13" s="73">
        <f>SUMIFS('0506 4度C'!$K:$K,'0506 4度C'!$A:$A,"新豐1線",'0506 4度C'!$B:$B,"平均")</f>
        <v>103.70370370370371</v>
      </c>
      <c r="J13" s="74">
        <f>SUMIFS('0506 4度C'!$K:$K,'0506 4度C'!$A:$A,"新豐10線",'0506 4度C'!$B:$B,"平均")</f>
        <v>315.78947368421052</v>
      </c>
      <c r="K13" s="75">
        <f>SUMIFS('0506 4度C'!$K:$K,'0506 4度C'!$A:$A,"新豐8線",'0506 4度C'!$B:$B,"平均")</f>
        <v>138.84297520661158</v>
      </c>
      <c r="L13" s="76">
        <f>SUMIFS('0506 4度C'!$K:$K,'0506 4度C'!$A:$A,"新豐9線",'0506 4度C'!$B:$B,"平均")</f>
        <v>128.46715328467153</v>
      </c>
      <c r="M13" s="74">
        <f>SUMIFS('0506 4度C'!$K:$K,'0506 4度C'!$A:$A,"新豐4線",'0506 4度C'!$B:$B,"平均")</f>
        <v>144.3609022556391</v>
      </c>
    </row>
    <row r="14" spans="2:17" ht="39.6" customHeight="1">
      <c r="B14" s="524"/>
      <c r="C14" s="77" t="s">
        <v>556</v>
      </c>
      <c r="D14" s="78">
        <f>SUMIFS('0506 4度C'!$N:$N,'0506 4度C'!$A:$A,"新豐6線",'0506 4度C'!$B:$B,"平均")</f>
        <v>115.08800802913163</v>
      </c>
      <c r="E14" s="79">
        <f>SUMIFS('0506 4度C'!$N:$N,'0506 4度C'!$A:$A,"新豐2線",'0506 4度C'!$B:$B,"平均")</f>
        <v>79.351527798911647</v>
      </c>
      <c r="F14" s="79">
        <f>SUMIFS('0506 4度C'!$N:$N,'0506 4度C'!$A:$A,"新豐5線",'0506 4度C'!$B:$B,"平均")</f>
        <v>95.460285716872548</v>
      </c>
      <c r="G14" s="79">
        <f>SUMIFS('0506 4度C'!$N:$N,'0506 4度C'!$A:$A,"新豐7線",'0506 4度C'!$B:$B,"平均")</f>
        <v>115.86172234431373</v>
      </c>
      <c r="H14" s="79">
        <f>SUMIFS('0506 4度C'!$N:$N,'0506 4度C'!$A:$A,"新豐3線",'0506 4度C'!$B:$B,"平均")</f>
        <v>244.25936001991906</v>
      </c>
      <c r="I14" s="79">
        <f>SUMIFS('0506 4度C'!$N:$N,'0506 4度C'!$A:$A,"新豐1線",'0506 4度C'!$B:$B,"平均")</f>
        <v>99.598426352452847</v>
      </c>
      <c r="J14" s="80">
        <f>SUMIFS('0506 4度C'!$N:$N,'0506 4度C'!$A:$A,"新豐10線",'0506 4度C'!$B:$B,"平均")</f>
        <v>302.72855161443738</v>
      </c>
      <c r="K14" s="81">
        <f>SUMIFS('0506 4度C'!$N:$N,'0506 4度C'!$A:$A,"新豐8線",'0506 4度C'!$B:$B,"平均")</f>
        <v>132.50669903209194</v>
      </c>
      <c r="L14" s="82">
        <f>SUMIFS('0506 4度C'!$N:$N,'0506 4度C'!$A:$A,"新豐9線",'0506 4度C'!$B:$B,"平均")</f>
        <v>122.96104906607587</v>
      </c>
      <c r="M14" s="80">
        <f>SUMIFS('0506 4度C'!$N:$N,'0506 4度C'!$A:$A,"新豐4線",'0506 4度C'!$B:$B,"平均")</f>
        <v>138.37155607916398</v>
      </c>
    </row>
    <row r="15" spans="2:17" ht="40.15" customHeight="1">
      <c r="B15" s="525"/>
      <c r="C15" s="83" t="s">
        <v>557</v>
      </c>
      <c r="D15" s="84">
        <f t="shared" ref="D15:M15" si="0">D14/D13</f>
        <v>0.96386206724397738</v>
      </c>
      <c r="E15" s="85">
        <f t="shared" si="0"/>
        <v>0.95221833358693986</v>
      </c>
      <c r="F15" s="85">
        <f t="shared" si="0"/>
        <v>0.9546028571687255</v>
      </c>
      <c r="G15" s="85">
        <f t="shared" si="0"/>
        <v>0.95711857588780913</v>
      </c>
      <c r="H15" s="85">
        <f t="shared" si="0"/>
        <v>0.95483204371422903</v>
      </c>
      <c r="I15" s="85">
        <f t="shared" si="0"/>
        <v>0.96041339697008099</v>
      </c>
      <c r="J15" s="86">
        <f t="shared" si="0"/>
        <v>0.95864041344571838</v>
      </c>
      <c r="K15" s="84">
        <f t="shared" si="0"/>
        <v>0.9543637251716145</v>
      </c>
      <c r="L15" s="85">
        <f t="shared" si="0"/>
        <v>0.95713998420752244</v>
      </c>
      <c r="M15" s="86">
        <f t="shared" si="0"/>
        <v>0.95851129992337547</v>
      </c>
    </row>
    <row r="16" spans="2:17" ht="17.25" customHeight="1">
      <c r="B16" s="526" t="s">
        <v>167</v>
      </c>
      <c r="C16" s="87" t="s">
        <v>558</v>
      </c>
      <c r="D16" s="88">
        <f>VLOOKUP("新豐6線",'0506 4度C'!$A:$T,19,0)</f>
        <v>0.70833333333333337</v>
      </c>
      <c r="E16" s="89">
        <f>VLOOKUP("新豐2線",'0506 4度C'!$A:$T,19,0)</f>
        <v>0.20833333333333334</v>
      </c>
      <c r="F16" s="89">
        <f>VLOOKUP("新豐5線",'0506 4度C'!$A:$T,19,0)</f>
        <v>0.20833333333333334</v>
      </c>
      <c r="G16" s="89">
        <f>VLOOKUP("新豐7線",'0506 4度C'!$A:$T,19,0)</f>
        <v>0.20833333333333334</v>
      </c>
      <c r="H16" s="89">
        <f>VLOOKUP("新豐3線",'0506 4度C'!$A:$T,19,0)</f>
        <v>8.3333333333333329E-2</v>
      </c>
      <c r="I16" s="89">
        <f>VLOOKUP("新豐1線",'0506 4度C'!$A:$T,19,0)</f>
        <v>0.20833333333333334</v>
      </c>
      <c r="J16" s="90">
        <f>VLOOKUP("新豐10線",'0506 4度C'!$A:$T,19,0)</f>
        <v>0.20833333333333334</v>
      </c>
      <c r="K16" s="91">
        <f>VLOOKUP("新豐8線",'0506 4度C'!$A:$T,19,0)</f>
        <v>8.3333333333333329E-2</v>
      </c>
      <c r="L16" s="92">
        <f>VLOOKUP("新豐9線",'0506 4度C'!$A:$T,19,0)</f>
        <v>8.3333333333333329E-2</v>
      </c>
      <c r="M16" s="93">
        <f>VLOOKUP("新豐4線",'0506 4度C'!$A:$T,19,0)</f>
        <v>8.3333333333333329E-2</v>
      </c>
    </row>
    <row r="17" spans="2:13" ht="17.25" customHeight="1">
      <c r="B17" s="527"/>
      <c r="C17" s="87" t="s">
        <v>559</v>
      </c>
      <c r="D17" s="91">
        <f>LOOKUP(2,1/(('0506 4度C'!$A:$A="新豐6線")*('0506 4度C'!$T:$T&lt;&gt;"")),'0506 4度C'!$T:$T)</f>
        <v>0.85347222222222219</v>
      </c>
      <c r="E17" s="89">
        <f>LOOKUP(2,1/(('0506 4度C'!$A:$A="新豐2線")*('0506 4度C'!$T:$T&lt;&gt;"")),'0506 4度C'!$T:$T)</f>
        <v>0.51458333333333339</v>
      </c>
      <c r="F17" s="89">
        <f>LOOKUP(2,1/(('0506 4度C'!$A:$A="新豐5線")*('0506 4度C'!$T:$T&lt;&gt;"")),'0506 4度C'!$T:$T)</f>
        <v>0.83750000000000002</v>
      </c>
      <c r="G17" s="89">
        <f>LOOKUP(2,1/(('0506 4度C'!$A:$A="新豐7線")*('0506 4度C'!$T:$T&lt;&gt;"")),'0506 4度C'!$T:$T)</f>
        <v>0.80763888888888891</v>
      </c>
      <c r="H17" s="89">
        <f>LOOKUP(2,1/(('0506 4度C'!$A:$A="新豐3線")*('0506 4度C'!$T:$T&lt;&gt;"")),'0506 4度C'!$T:$T)</f>
        <v>0.43611111111111112</v>
      </c>
      <c r="I17" s="89">
        <f>LOOKUP(2,1/(('0506 4度C'!$A:$A="新豐1線")*('0506 4度C'!$T:$T&lt;&gt;"")),'0506 4度C'!$T:$T)</f>
        <v>0.80902777777777779</v>
      </c>
      <c r="J17" s="90">
        <f>LOOKUP(2,1/(('0506 4度C'!$A:$A="新豐10線")*('0506 4度C'!$T:$T&lt;&gt;"")),'0506 4度C'!$T:$T)</f>
        <v>0.43124999999999991</v>
      </c>
      <c r="K17" s="88">
        <f>LOOKUP(2,1/(('0506 4度C'!$A:$A="新豐8線")*('0506 4度C'!$T:$T&lt;&gt;"")),'0506 4度C'!$T:$T)</f>
        <v>0.72916666666666652</v>
      </c>
      <c r="L17" s="89">
        <f>LOOKUP(2,1/(('0506 4度C'!$A:$A="新豐9線")*('0506 4度C'!$T:$T&lt;&gt;"")),'0506 4度C'!$T:$T)</f>
        <v>0.76319444444444429</v>
      </c>
      <c r="M17" s="90">
        <f>LOOKUP(2,1/(('0506 4度C'!$A:$A="新豐4線")*('0506 4度C'!$T:$T&lt;&gt;"")),'0506 4度C'!$T:$T)</f>
        <v>0.6791666666666667</v>
      </c>
    </row>
    <row r="18" spans="2:13" ht="17.25" customHeight="1">
      <c r="B18" s="505" t="s">
        <v>560</v>
      </c>
      <c r="C18" s="94" t="s">
        <v>561</v>
      </c>
      <c r="D18" s="95">
        <f>SUMIFS('0506 4度C'!$Y:$Y,'0506 4度C'!$A:$A,"新豐6線",'0506 4度C'!$B:$B,"平均")</f>
        <v>0</v>
      </c>
      <c r="E18" s="96">
        <f>SUMIFS('0506 4度C'!$Y:$Y,'0506 4度C'!$A:$A,"新豐2線",'0506 4度C'!$B:$B,"平均")</f>
        <v>0</v>
      </c>
      <c r="F18" s="96">
        <f>SUMIFS('0506 4度C'!$Y:$Y,'0506 4度C'!$A:$A,"新豐5線",'0506 4度C'!$B:$B,"平均")</f>
        <v>0</v>
      </c>
      <c r="G18" s="96">
        <f>SUMIFS('0506 4度C'!$Y:$Y,'0506 4度C'!$A:$A,"新豐7線",'0506 4度C'!$B:$B,"平均")</f>
        <v>0</v>
      </c>
      <c r="H18" s="96">
        <f>SUMIFS('0506 4度C'!$Y:$Y,'0506 4度C'!$A:$A,"新豐3線",'0506 4度C'!$B:$B,"平均")</f>
        <v>0</v>
      </c>
      <c r="I18" s="96">
        <f>SUMIFS('0506 4度C'!$Y:$Y,'0506 4度C'!$A:$A,"新豐1線",'0506 4度C'!$B:$B,"平均")</f>
        <v>0</v>
      </c>
      <c r="J18" s="97">
        <f>SUMIFS('0506 4度C'!$Y:$Y,'0506 4度C'!$A:$A,"新豐10線",'0506 4度C'!$B:$B,"平均")</f>
        <v>0</v>
      </c>
      <c r="K18" s="98">
        <f>SUMIFS('0506 4度C'!$Y:$Y,'0506 4度C'!$A:$A,"新豐8線",'0506 4度C'!$B:$B,"平均")</f>
        <v>0</v>
      </c>
      <c r="L18" s="96">
        <f>SUMIFS('0506 4度C'!$Y:$Y,'0506 4度C'!$A:$A,"新豐9線",'0506 4度C'!$B:$B,"平均")</f>
        <v>0</v>
      </c>
      <c r="M18" s="97">
        <f>SUMIFS('0506 4度C'!$Y:$Y,'0506 4度C'!$A:$A,"新豐4線",'0506 4度C'!$B:$B,"平均")</f>
        <v>0</v>
      </c>
    </row>
    <row r="19" spans="2:13" ht="17.25" customHeight="1">
      <c r="B19" s="506"/>
      <c r="C19" s="94" t="s">
        <v>172</v>
      </c>
      <c r="D19" s="95">
        <f>SUMIFS('0506 4度C'!$Z:$Z,'0506 4度C'!$A:$A,"新豐6線",'0506 4度C'!$B:$B,"平均")</f>
        <v>0</v>
      </c>
      <c r="E19" s="96">
        <f>SUMIFS('0506 4度C'!$Z:$Z,'0506 4度C'!$A:$A,"新豐2線",'0506 4度C'!$B:$B,"平均")</f>
        <v>0</v>
      </c>
      <c r="F19" s="96">
        <f>SUMIFS('0506 4度C'!$Z:$Z,'0506 4度C'!$A:$A,"新豐5線",'0506 4度C'!$B:$B,"平均")</f>
        <v>0</v>
      </c>
      <c r="G19" s="96">
        <f>SUMIFS('0506 4度C'!$Z:$Z,'0506 4度C'!$A:$A,"新豐7線",'0506 4度C'!$B:$B,"平均")</f>
        <v>0</v>
      </c>
      <c r="H19" s="96">
        <f>SUMIFS('0506 4度C'!$Z:$Z,'0506 4度C'!$A:$A,"新豐3線",'0506 4度C'!$B:$B,"平均")</f>
        <v>0</v>
      </c>
      <c r="I19" s="96">
        <f>SUMIFS('0506 4度C'!$Z:$Z,'0506 4度C'!$A:$A,"新豐1線",'0506 4度C'!$B:$B,"平均")</f>
        <v>0</v>
      </c>
      <c r="J19" s="97">
        <f>SUMIFS('0506 4度C'!$Z:$Z,'0506 4度C'!$A:$A,"新豐10線",'0506 4度C'!$B:$B,"平均")</f>
        <v>0</v>
      </c>
      <c r="K19" s="98">
        <f>SUMIFS('0506 4度C'!$Z:$Z,'0506 4度C'!$A:$A,"新豐8線",'0506 4度C'!$B:$B,"平均")</f>
        <v>0</v>
      </c>
      <c r="L19" s="96">
        <f>SUMIFS('0506 4度C'!$Z:$Z,'0506 4度C'!$A:$A,"新豐9線",'0506 4度C'!$B:$B,"平均")</f>
        <v>0</v>
      </c>
      <c r="M19" s="97">
        <f>SUMIFS('0506 4度C'!$Z:$Z,'0506 4度C'!$A:$A,"新豐4線",'0506 4度C'!$B:$B,"平均")</f>
        <v>0</v>
      </c>
    </row>
    <row r="20" spans="2:13" ht="17.25" customHeight="1">
      <c r="B20" s="505" t="s">
        <v>173</v>
      </c>
      <c r="C20" s="94" t="s">
        <v>561</v>
      </c>
      <c r="D20" s="95">
        <f>SUMIFS('0506 4度C'!$AC:$AC,'0506 4度C'!$A:$A,"新豐6線",'0506 4度C'!$B:$B,"平均")</f>
        <v>4</v>
      </c>
      <c r="E20" s="96">
        <f>SUMIFS('0506 4度C'!$AC:$AC,'0506 4度C'!$A:$A,"新豐2線",'0506 4度C'!$B:$B,"平均")</f>
        <v>2</v>
      </c>
      <c r="F20" s="96">
        <f>SUMIFS('0506 4度C'!$AC:$AC,'0506 4度C'!$A:$A,"新豐5線",'0506 4度C'!$B:$B,"平均")</f>
        <v>4</v>
      </c>
      <c r="G20" s="96">
        <f>SUMIFS('0506 4度C'!$AC:$AC,'0506 4度C'!$A:$A,"新豐7線",'0506 4度C'!$B:$B,"平均")</f>
        <v>6</v>
      </c>
      <c r="H20" s="96">
        <f>SUMIFS('0506 4度C'!$AC:$AC,'0506 4度C'!$A:$A,"新豐3線",'0506 4度C'!$B:$B,"平均")</f>
        <v>4</v>
      </c>
      <c r="I20" s="96">
        <f>SUMIFS('0506 4度C'!$AC:$AC,'0506 4度C'!$A:$A,"新豐1線",'0506 4度C'!$B:$B,"平均")</f>
        <v>7</v>
      </c>
      <c r="J20" s="97">
        <f>SUMIFS('0506 4度C'!$AC:$AC,'0506 4度C'!$A:$A,"新豐10線",'0506 4度C'!$B:$B,"平均")</f>
        <v>6</v>
      </c>
      <c r="K20" s="98">
        <f>SUMIFS('0506 4度C'!$AC:$AC,'0506 4度C'!$A:$A,"新豐8線",'0506 4度C'!$B:$B,"平均")</f>
        <v>7</v>
      </c>
      <c r="L20" s="96">
        <f>SUMIFS('0506 4度C'!$AC:$AC,'0506 4度C'!$A:$A,"新豐9線",'0506 4度C'!$B:$B,"平均")</f>
        <v>8</v>
      </c>
      <c r="M20" s="97">
        <f>SUMIFS('0506 4度C'!$AC:$AC,'0506 4度C'!$A:$A,"新豐4線",'0506 4度C'!$B:$B,"平均")</f>
        <v>8</v>
      </c>
    </row>
    <row r="21" spans="2:13" ht="17.25" customHeight="1">
      <c r="B21" s="506"/>
      <c r="C21" s="94" t="s">
        <v>174</v>
      </c>
      <c r="D21" s="95">
        <f>SUMIFS('0506 4度C'!$AD:$AD,'0506 4度C'!$A:$A,"新豐6線",'0506 4度C'!$B:$B,"平均")</f>
        <v>0</v>
      </c>
      <c r="E21" s="96">
        <f>SUMIFS('0506 4度C'!$AD:$AD,'0506 4度C'!$A:$A,"新豐2線",'0506 4度C'!$B:$B,"平均")</f>
        <v>0</v>
      </c>
      <c r="F21" s="96">
        <f>SUMIFS('0506 4度C'!$AD:$AD,'0506 4度C'!$A:$A,"新豐5線",'0506 4度C'!$B:$B,"平均")</f>
        <v>0</v>
      </c>
      <c r="G21" s="96">
        <f>SUMIFS('0506 4度C'!$AD:$AD,'0506 4度C'!$A:$A,"新豐7線",'0506 4度C'!$B:$B,"平均")</f>
        <v>0</v>
      </c>
      <c r="H21" s="96">
        <f>SUMIFS('0506 4度C'!$AD:$AD,'0506 4度C'!$A:$A,"新豐3線",'0506 4度C'!$B:$B,"平均")</f>
        <v>0</v>
      </c>
      <c r="I21" s="96">
        <f>SUMIFS('0506 4度C'!$AD:$AD,'0506 4度C'!$A:$A,"新豐1線",'0506 4度C'!$B:$B,"平均")</f>
        <v>0</v>
      </c>
      <c r="J21" s="97">
        <f>SUMIFS('0506 4度C'!$AD:$AD,'0506 4度C'!$A:$A,"新豐10線",'0506 4度C'!$B:$B,"平均")</f>
        <v>0</v>
      </c>
      <c r="K21" s="98">
        <f>SUMIFS('0506 4度C'!$AD:$AD,'0506 4度C'!$A:$A,"新豐8線",'0506 4度C'!$B:$B,"平均")</f>
        <v>0</v>
      </c>
      <c r="L21" s="96">
        <f>SUMIFS('0506 4度C'!$AD:$AD,'0506 4度C'!$A:$A,"新豐9線",'0506 4度C'!$B:$B,"平均")</f>
        <v>0</v>
      </c>
      <c r="M21" s="97">
        <f>SUMIFS('0506 4度C'!$AD:$AD,'0506 4度C'!$A:$A,"新豐4線",'0506 4度C'!$B:$B,"平均")</f>
        <v>0</v>
      </c>
    </row>
    <row r="22" spans="2:13" ht="17.25" customHeight="1">
      <c r="B22" s="507" t="s">
        <v>562</v>
      </c>
      <c r="C22" s="508"/>
      <c r="D22" s="99">
        <f>SUMIFS('0506 4度C'!$I:$I,'0506 4度C'!$A:$A,"新豐6線",'0506 4度C'!$B:$B,"平均")</f>
        <v>16.75</v>
      </c>
      <c r="E22" s="100">
        <f>SUMIFS('0506 4度C'!$I:$I,'0506 4度C'!$A:$A,"新豐2線",'0506 4度C'!$B:$B,"平均")</f>
        <v>18</v>
      </c>
      <c r="F22" s="100">
        <f>SUMIFS('0506 4度C'!$I:$I,'0506 4度C'!$A:$A,"新豐5線",'0506 4度C'!$B:$B,"平均")</f>
        <v>17.5</v>
      </c>
      <c r="G22" s="100">
        <f>SUMIFS('0506 4度C'!$I:$I,'0506 4度C'!$A:$A,"新豐7線",'0506 4度C'!$B:$B,"平均")</f>
        <v>15.833333333333334</v>
      </c>
      <c r="H22" s="100">
        <f>SUMIFS('0506 4度C'!$I:$I,'0506 4度C'!$A:$A,"新豐3線",'0506 4度C'!$B:$B,"平均")</f>
        <v>10.75</v>
      </c>
      <c r="I22" s="100">
        <f>SUMIFS('0506 4度C'!$I:$I,'0506 4度C'!$A:$A,"新豐1線",'0506 4度C'!$B:$B,"平均")</f>
        <v>19.285714285714285</v>
      </c>
      <c r="J22" s="101">
        <f>SUMIFS('0506 4度C'!$I:$I,'0506 4度C'!$A:$A,"新豐10線",'0506 4度C'!$B:$B,"平均")</f>
        <v>9.5</v>
      </c>
      <c r="K22" s="99">
        <f>SUMIFS('0506 4度C'!$I:$I,'0506 4度C'!$A:$A,"新豐8線",'0506 4度C'!$B:$B,"平均")</f>
        <v>17.285714285714285</v>
      </c>
      <c r="L22" s="100">
        <f>SUMIFS('0506 4度C'!$I:$I,'0506 4度C'!$A:$A,"新豐9線",'0506 4度C'!$B:$B,"平均")</f>
        <v>17.125</v>
      </c>
      <c r="M22" s="101">
        <f>SUMIFS('0506 4度C'!$I:$I,'0506 4度C'!$A:$A,"新豐4線",'0506 4度C'!$B:$B,"平均")</f>
        <v>16.625</v>
      </c>
    </row>
    <row r="23" spans="2:13" ht="17.25" customHeight="1">
      <c r="B23" s="507" t="s">
        <v>563</v>
      </c>
      <c r="C23" s="508"/>
      <c r="D23" s="102" t="s">
        <v>177</v>
      </c>
      <c r="E23" s="103" t="s">
        <v>178</v>
      </c>
      <c r="F23" s="103" t="s">
        <v>564</v>
      </c>
      <c r="G23" s="103" t="s">
        <v>564</v>
      </c>
      <c r="H23" s="103" t="s">
        <v>180</v>
      </c>
      <c r="I23" s="103" t="s">
        <v>177</v>
      </c>
      <c r="J23" s="104" t="s">
        <v>180</v>
      </c>
      <c r="K23" s="102" t="s">
        <v>565</v>
      </c>
      <c r="L23" s="103" t="s">
        <v>565</v>
      </c>
      <c r="M23" s="104" t="s">
        <v>565</v>
      </c>
    </row>
    <row r="24" spans="2:13" ht="17.25" customHeight="1">
      <c r="B24" s="507" t="s">
        <v>566</v>
      </c>
      <c r="C24" s="508"/>
      <c r="D24" s="102"/>
      <c r="E24" s="103"/>
      <c r="F24" s="103" t="s">
        <v>567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568</v>
      </c>
      <c r="C25" s="510"/>
      <c r="D25" s="105"/>
      <c r="E25" s="106" t="s">
        <v>569</v>
      </c>
      <c r="F25" s="503" t="s">
        <v>570</v>
      </c>
      <c r="G25" s="504"/>
      <c r="H25" s="106" t="s">
        <v>571</v>
      </c>
      <c r="I25" s="106" t="s">
        <v>189</v>
      </c>
      <c r="J25" s="107" t="s">
        <v>571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38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1"/>
  <sheetViews>
    <sheetView zoomScale="80" zoomScaleNormal="80" workbookViewId="0">
      <pane ySplit="4" topLeftCell="A5" activePane="bottomLeft" state="frozen"/>
      <selection sqref="A1:XFD1048576"/>
      <selection pane="bottomLeft" activeCell="I9" sqref="I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124" customWidth="1"/>
    <col min="10" max="10" width="10.625" style="124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572</v>
      </c>
      <c r="B1" s="1"/>
      <c r="C1" s="2" t="s">
        <v>573</v>
      </c>
      <c r="D1" s="3">
        <f>SUM(F5:F70)</f>
        <v>173498</v>
      </c>
      <c r="E1" s="144" t="s">
        <v>574</v>
      </c>
      <c r="F1" s="1">
        <f>SUM(G5:G70)</f>
        <v>5805064.379999999</v>
      </c>
      <c r="G1" s="1" t="s">
        <v>575</v>
      </c>
      <c r="H1" s="5">
        <f>L9+L12+L46+L54+L17+L61+L32+L41+L24+L70</f>
        <v>158.6547619047619</v>
      </c>
      <c r="I1" s="617" t="s">
        <v>576</v>
      </c>
      <c r="J1" s="617"/>
      <c r="K1" s="617"/>
      <c r="L1" s="617" t="s">
        <v>577</v>
      </c>
      <c r="M1" s="617"/>
      <c r="N1" s="617"/>
      <c r="O1" s="617" t="s">
        <v>578</v>
      </c>
      <c r="P1" s="617"/>
      <c r="Q1" s="617"/>
      <c r="R1" s="617"/>
      <c r="S1" s="617" t="s">
        <v>579</v>
      </c>
      <c r="T1" s="617"/>
      <c r="U1" s="617"/>
      <c r="V1" s="617"/>
      <c r="W1" s="617"/>
      <c r="X1" s="617"/>
      <c r="Y1" s="6" t="s">
        <v>580</v>
      </c>
      <c r="Z1" s="7" t="s">
        <v>581</v>
      </c>
      <c r="AA1" s="618" t="s">
        <v>582</v>
      </c>
      <c r="AB1" s="618"/>
      <c r="AC1" s="121" t="s">
        <v>580</v>
      </c>
      <c r="AD1" s="7" t="s">
        <v>583</v>
      </c>
      <c r="AE1" s="617" t="s">
        <v>352</v>
      </c>
      <c r="AF1" s="619"/>
      <c r="AG1" s="619"/>
    </row>
    <row r="2" spans="1:33" ht="26.25" customHeight="1">
      <c r="A2" s="37">
        <v>46148</v>
      </c>
      <c r="B2" s="38" t="s">
        <v>584</v>
      </c>
      <c r="C2" s="2" t="s">
        <v>13</v>
      </c>
      <c r="D2" s="10">
        <f>AVERAGE(N9,N12,N46,N54,N17,N61,N24,N32,N41,N70)</f>
        <v>144.61871860533708</v>
      </c>
      <c r="E2" s="11" t="s">
        <v>14</v>
      </c>
      <c r="F2" s="12">
        <f>F1/D1</f>
        <v>33.458970016945436</v>
      </c>
      <c r="G2" s="1" t="s">
        <v>528</v>
      </c>
      <c r="H2" s="150">
        <f>COUNT(H5:H70)</f>
        <v>9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SUM(Y9+Y12+Y17+Y24+Y32+Y41+Y46+Y54+Y61+Y70)</f>
        <v>0</v>
      </c>
      <c r="Z2" s="14">
        <f>SUM(Z9+Z12+Z17+Z24+Z32+Z41+Z46+Z54+Z61+Z70)</f>
        <v>0</v>
      </c>
      <c r="AA2" s="618"/>
      <c r="AB2" s="618"/>
      <c r="AC2" s="122">
        <v>56</v>
      </c>
      <c r="AD2" s="14">
        <f>SUM(AD9+AD12+AD17+AD24+AD32+AD41+AD46+AD54+AD61+AD70)</f>
        <v>0</v>
      </c>
      <c r="AE2" s="619"/>
      <c r="AF2" s="619"/>
      <c r="AG2" s="619"/>
    </row>
    <row r="3" spans="1:33" ht="40.5" customHeight="1">
      <c r="A3" s="575" t="s">
        <v>16</v>
      </c>
      <c r="B3" s="575" t="s">
        <v>585</v>
      </c>
      <c r="C3" s="575" t="s">
        <v>586</v>
      </c>
      <c r="D3" s="575"/>
      <c r="E3" s="615" t="s">
        <v>19</v>
      </c>
      <c r="F3" s="575" t="s">
        <v>587</v>
      </c>
      <c r="G3" s="615" t="s">
        <v>588</v>
      </c>
      <c r="H3" s="608" t="s">
        <v>589</v>
      </c>
      <c r="I3" s="606" t="s">
        <v>23</v>
      </c>
      <c r="J3" s="603" t="s">
        <v>24</v>
      </c>
      <c r="K3" s="613" t="s">
        <v>554</v>
      </c>
      <c r="L3" s="606" t="s">
        <v>590</v>
      </c>
      <c r="M3" s="603" t="s">
        <v>591</v>
      </c>
      <c r="N3" s="613" t="s">
        <v>554</v>
      </c>
      <c r="O3" s="606" t="s">
        <v>592</v>
      </c>
      <c r="P3" s="613" t="s">
        <v>593</v>
      </c>
      <c r="Q3" s="604" t="s">
        <v>594</v>
      </c>
      <c r="R3" s="582" t="s">
        <v>595</v>
      </c>
      <c r="S3" s="614" t="s">
        <v>28</v>
      </c>
      <c r="T3" s="614"/>
      <c r="U3" s="608" t="s">
        <v>29</v>
      </c>
      <c r="V3" s="608" t="s">
        <v>596</v>
      </c>
      <c r="W3" s="575" t="s">
        <v>597</v>
      </c>
      <c r="X3" s="575"/>
      <c r="Y3" s="609" t="s">
        <v>598</v>
      </c>
      <c r="Z3" s="572"/>
      <c r="AA3" s="610" t="s">
        <v>599</v>
      </c>
      <c r="AB3" s="611"/>
      <c r="AC3" s="609" t="s">
        <v>600</v>
      </c>
      <c r="AD3" s="572"/>
      <c r="AE3" s="603" t="s">
        <v>591</v>
      </c>
      <c r="AF3" s="604" t="s">
        <v>601</v>
      </c>
      <c r="AG3" s="582" t="s">
        <v>602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149" t="s">
        <v>36</v>
      </c>
      <c r="T4" s="149" t="s">
        <v>37</v>
      </c>
      <c r="U4" s="608"/>
      <c r="V4" s="608"/>
      <c r="W4" s="144" t="s">
        <v>603</v>
      </c>
      <c r="X4" s="144" t="s">
        <v>604</v>
      </c>
      <c r="Y4" s="143" t="s">
        <v>605</v>
      </c>
      <c r="Z4" s="143" t="s">
        <v>606</v>
      </c>
      <c r="AA4" s="612"/>
      <c r="AB4" s="611"/>
      <c r="AC4" s="143" t="s">
        <v>607</v>
      </c>
      <c r="AD4" s="143" t="s">
        <v>608</v>
      </c>
      <c r="AE4" s="603"/>
      <c r="AF4" s="604"/>
      <c r="AG4" s="582"/>
    </row>
    <row r="5" spans="1:33">
      <c r="A5" s="605" t="s">
        <v>609</v>
      </c>
      <c r="B5" s="39" t="s">
        <v>74</v>
      </c>
      <c r="C5" s="607" t="s">
        <v>75</v>
      </c>
      <c r="D5" s="607"/>
      <c r="E5" s="39">
        <v>50.67</v>
      </c>
      <c r="F5" s="149">
        <v>1368</v>
      </c>
      <c r="G5" s="144">
        <f t="shared" ref="G5:G8" si="0">E5*F5</f>
        <v>69316.56</v>
      </c>
      <c r="H5" s="48" t="s">
        <v>126</v>
      </c>
      <c r="I5" s="151">
        <v>17</v>
      </c>
      <c r="J5" s="43">
        <v>2000</v>
      </c>
      <c r="K5" s="18">
        <f t="shared" ref="K5:K68" si="1">J5/I5</f>
        <v>117.64705882352941</v>
      </c>
      <c r="L5" s="147">
        <v>17</v>
      </c>
      <c r="M5" s="19">
        <f t="shared" ref="M5:M8" si="2">F5/V5*60</f>
        <v>1908.8372093023254</v>
      </c>
      <c r="N5" s="18">
        <f t="shared" ref="N5:N68" si="3">M5/L5</f>
        <v>112.28454172366619</v>
      </c>
      <c r="O5" s="20">
        <f t="shared" ref="O5:O68" si="4">L5-I5</f>
        <v>0</v>
      </c>
      <c r="P5" s="21">
        <f t="shared" ref="P5:P68" si="5">N5-K5</f>
        <v>-5.3625170998632115</v>
      </c>
      <c r="Q5" s="145">
        <f t="shared" ref="Q5:Q68" si="6">N5/K5</f>
        <v>0.95441860465116268</v>
      </c>
      <c r="R5" s="573">
        <f>Q9</f>
        <v>0.96386206724397738</v>
      </c>
      <c r="S5" s="49">
        <v>0.70833333333333337</v>
      </c>
      <c r="T5" s="49">
        <v>0.73819444444444449</v>
      </c>
      <c r="U5" s="144"/>
      <c r="V5" s="148">
        <f t="shared" ref="V5:V8" si="7">(T5-S5)*24*60</f>
        <v>43.000000000000007</v>
      </c>
      <c r="W5" s="25"/>
      <c r="X5" s="26"/>
      <c r="Y5" s="26"/>
      <c r="Z5" s="26"/>
      <c r="AA5" s="575"/>
      <c r="AB5" s="575"/>
      <c r="AC5" s="50">
        <v>4</v>
      </c>
      <c r="AD5" s="27"/>
      <c r="AE5" s="20">
        <f t="shared" ref="AE5:AE53" si="8">M5-J5</f>
        <v>-91.162790697674609</v>
      </c>
      <c r="AF5" s="145">
        <f t="shared" ref="AF5:AF68" si="9">M5/J5</f>
        <v>0.95441860465116268</v>
      </c>
      <c r="AG5" s="573">
        <f>AF9</f>
        <v>0.96386206724397738</v>
      </c>
    </row>
    <row r="6" spans="1:33">
      <c r="A6" s="606" t="s">
        <v>610</v>
      </c>
      <c r="B6" s="39" t="s">
        <v>74</v>
      </c>
      <c r="C6" s="607" t="s">
        <v>76</v>
      </c>
      <c r="D6" s="607"/>
      <c r="E6" s="39">
        <v>54.09</v>
      </c>
      <c r="F6" s="149">
        <v>1138</v>
      </c>
      <c r="G6" s="144">
        <f t="shared" si="0"/>
        <v>61554.420000000006</v>
      </c>
      <c r="H6" s="48" t="s">
        <v>126</v>
      </c>
      <c r="I6" s="151">
        <v>19</v>
      </c>
      <c r="J6" s="43">
        <v>2000</v>
      </c>
      <c r="K6" s="18">
        <f t="shared" si="1"/>
        <v>105.26315789473684</v>
      </c>
      <c r="L6" s="147">
        <v>19</v>
      </c>
      <c r="M6" s="19">
        <f t="shared" si="2"/>
        <v>1950.8571428571411</v>
      </c>
      <c r="N6" s="18">
        <f t="shared" si="3"/>
        <v>102.67669172932321</v>
      </c>
      <c r="O6" s="20">
        <f t="shared" si="4"/>
        <v>0</v>
      </c>
      <c r="P6" s="21">
        <f t="shared" si="5"/>
        <v>-2.5864661654136256</v>
      </c>
      <c r="Q6" s="145">
        <f t="shared" si="6"/>
        <v>0.97542857142857053</v>
      </c>
      <c r="R6" s="573"/>
      <c r="S6" s="49">
        <v>0.7416666666666667</v>
      </c>
      <c r="T6" s="49">
        <v>0.76597222222222228</v>
      </c>
      <c r="U6" s="144">
        <f t="shared" ref="U6:U8" si="10">IF(S6=TIME(17,0,0),"",(S6-T5)*24*60)</f>
        <v>4.9999999999999822</v>
      </c>
      <c r="V6" s="148">
        <f t="shared" si="7"/>
        <v>35.000000000000036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-49.142857142858929</v>
      </c>
      <c r="AF6" s="145">
        <f t="shared" si="9"/>
        <v>0.97542857142857053</v>
      </c>
      <c r="AG6" s="573"/>
    </row>
    <row r="7" spans="1:33">
      <c r="A7" s="606" t="s">
        <v>610</v>
      </c>
      <c r="B7" s="39" t="s">
        <v>74</v>
      </c>
      <c r="C7" s="598" t="s">
        <v>77</v>
      </c>
      <c r="D7" s="599"/>
      <c r="E7" s="39">
        <v>50.67</v>
      </c>
      <c r="F7" s="149">
        <v>1731</v>
      </c>
      <c r="G7" s="144">
        <f t="shared" si="0"/>
        <v>87709.77</v>
      </c>
      <c r="H7" s="48" t="s">
        <v>126</v>
      </c>
      <c r="I7" s="151">
        <v>15</v>
      </c>
      <c r="J7" s="43">
        <v>2000</v>
      </c>
      <c r="K7" s="18">
        <f t="shared" si="1"/>
        <v>133.33333333333334</v>
      </c>
      <c r="L7" s="147">
        <v>15</v>
      </c>
      <c r="M7" s="19">
        <f t="shared" si="2"/>
        <v>1923.3333333333344</v>
      </c>
      <c r="N7" s="18">
        <f t="shared" si="3"/>
        <v>128.22222222222229</v>
      </c>
      <c r="O7" s="20">
        <f t="shared" si="4"/>
        <v>0</v>
      </c>
      <c r="P7" s="21">
        <f t="shared" si="5"/>
        <v>-5.1111111111110574</v>
      </c>
      <c r="Q7" s="145">
        <f t="shared" si="6"/>
        <v>0.96166666666666711</v>
      </c>
      <c r="R7" s="573"/>
      <c r="S7" s="49">
        <v>0.77013888888888893</v>
      </c>
      <c r="T7" s="49">
        <v>0.80763888888888891</v>
      </c>
      <c r="U7" s="144">
        <f t="shared" si="10"/>
        <v>5.9999999999999787</v>
      </c>
      <c r="V7" s="148">
        <f t="shared" si="7"/>
        <v>53.999999999999972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-76.666666666665606</v>
      </c>
      <c r="AF7" s="145">
        <f t="shared" si="9"/>
        <v>0.96166666666666722</v>
      </c>
      <c r="AG7" s="573"/>
    </row>
    <row r="8" spans="1:33">
      <c r="A8" s="606" t="s">
        <v>610</v>
      </c>
      <c r="B8" s="39" t="s">
        <v>74</v>
      </c>
      <c r="C8" s="598" t="s">
        <v>78</v>
      </c>
      <c r="D8" s="599"/>
      <c r="E8" s="39">
        <v>52.86</v>
      </c>
      <c r="F8" s="149">
        <v>1960</v>
      </c>
      <c r="G8" s="144">
        <f t="shared" si="0"/>
        <v>103605.6</v>
      </c>
      <c r="H8" s="48" t="s">
        <v>126</v>
      </c>
      <c r="I8" s="151">
        <v>16</v>
      </c>
      <c r="J8" s="43">
        <v>2000</v>
      </c>
      <c r="K8" s="18">
        <f t="shared" si="1"/>
        <v>125</v>
      </c>
      <c r="L8" s="147">
        <v>16</v>
      </c>
      <c r="M8" s="19">
        <f t="shared" si="2"/>
        <v>1927.8688524590179</v>
      </c>
      <c r="N8" s="18">
        <f t="shared" si="3"/>
        <v>120.49180327868862</v>
      </c>
      <c r="O8" s="20">
        <f t="shared" si="4"/>
        <v>0</v>
      </c>
      <c r="P8" s="21">
        <f t="shared" si="5"/>
        <v>-4.5081967213113785</v>
      </c>
      <c r="Q8" s="145">
        <f t="shared" si="6"/>
        <v>0.96393442622950898</v>
      </c>
      <c r="R8" s="573"/>
      <c r="S8" s="49">
        <v>0.81111111111111112</v>
      </c>
      <c r="T8" s="49">
        <v>0.85347222222222219</v>
      </c>
      <c r="U8" s="144">
        <f t="shared" si="10"/>
        <v>4.9999999999999822</v>
      </c>
      <c r="V8" s="148">
        <f t="shared" si="7"/>
        <v>60.999999999999943</v>
      </c>
      <c r="W8" s="30"/>
      <c r="X8" s="30"/>
      <c r="Y8" s="31"/>
      <c r="Z8" s="31"/>
      <c r="AA8" s="568"/>
      <c r="AB8" s="569"/>
      <c r="AC8" s="50"/>
      <c r="AD8" s="29"/>
      <c r="AE8" s="20">
        <f t="shared" si="8"/>
        <v>-72.131147540982056</v>
      </c>
      <c r="AF8" s="145">
        <f t="shared" si="9"/>
        <v>0.96393442622950898</v>
      </c>
      <c r="AG8" s="573"/>
    </row>
    <row r="9" spans="1:33">
      <c r="A9" s="606" t="s">
        <v>609</v>
      </c>
      <c r="B9" s="39" t="s">
        <v>611</v>
      </c>
      <c r="C9" s="576"/>
      <c r="D9" s="576"/>
      <c r="E9" s="146"/>
      <c r="F9" s="42"/>
      <c r="G9" s="18"/>
      <c r="H9" s="149"/>
      <c r="I9" s="32">
        <v>16.75</v>
      </c>
      <c r="J9" s="43">
        <v>2000</v>
      </c>
      <c r="K9" s="18">
        <f t="shared" si="1"/>
        <v>119.40298507462687</v>
      </c>
      <c r="L9" s="32">
        <v>16.75</v>
      </c>
      <c r="M9" s="19">
        <f>AVERAGE(M5:M8)</f>
        <v>1927.7241344879549</v>
      </c>
      <c r="N9" s="18">
        <f t="shared" si="3"/>
        <v>115.08800802913163</v>
      </c>
      <c r="O9" s="20">
        <f t="shared" si="4"/>
        <v>0</v>
      </c>
      <c r="P9" s="21">
        <f t="shared" si="5"/>
        <v>-4.3149770454952403</v>
      </c>
      <c r="Q9" s="145">
        <f t="shared" si="6"/>
        <v>0.96386206724397738</v>
      </c>
      <c r="R9" s="573"/>
      <c r="S9" s="49"/>
      <c r="T9" s="49"/>
      <c r="U9" s="144"/>
      <c r="V9" s="148"/>
      <c r="W9" s="18"/>
      <c r="X9" s="18"/>
      <c r="Y9" s="33">
        <f>SUM(Y5:Y8)</f>
        <v>0</v>
      </c>
      <c r="Z9" s="33">
        <f>SUM(Z5:Z8)</f>
        <v>0</v>
      </c>
      <c r="AA9" s="572"/>
      <c r="AB9" s="572"/>
      <c r="AC9" s="33">
        <v>4</v>
      </c>
      <c r="AD9" s="33">
        <f>SUM(AD5:AD8)</f>
        <v>0</v>
      </c>
      <c r="AE9" s="20">
        <f t="shared" si="8"/>
        <v>-72.275865512045129</v>
      </c>
      <c r="AF9" s="145">
        <f t="shared" si="9"/>
        <v>0.96386206724397738</v>
      </c>
      <c r="AG9" s="573"/>
    </row>
    <row r="10" spans="1:33" ht="15.75" customHeight="1">
      <c r="A10" s="602" t="s">
        <v>612</v>
      </c>
      <c r="B10" s="39" t="s">
        <v>79</v>
      </c>
      <c r="C10" s="598" t="s">
        <v>80</v>
      </c>
      <c r="D10" s="599"/>
      <c r="E10" s="39">
        <v>39.619999999999997</v>
      </c>
      <c r="F10" s="149">
        <v>4257</v>
      </c>
      <c r="G10" s="144">
        <f t="shared" ref="G10:G11" si="11">E10*F10</f>
        <v>168662.34</v>
      </c>
      <c r="H10" s="48" t="s">
        <v>126</v>
      </c>
      <c r="I10" s="151">
        <v>19</v>
      </c>
      <c r="J10" s="43">
        <v>1500</v>
      </c>
      <c r="K10" s="18">
        <f t="shared" si="1"/>
        <v>78.94736842105263</v>
      </c>
      <c r="L10" s="147">
        <v>19</v>
      </c>
      <c r="M10" s="19">
        <f t="shared" ref="M10:M11" si="12">F10/V10*60</f>
        <v>1426.9273743016756</v>
      </c>
      <c r="N10" s="18">
        <f t="shared" si="3"/>
        <v>75.101440752719768</v>
      </c>
      <c r="O10" s="20">
        <f t="shared" si="4"/>
        <v>0</v>
      </c>
      <c r="P10" s="21">
        <f t="shared" si="5"/>
        <v>-3.8459276683328625</v>
      </c>
      <c r="Q10" s="145">
        <f t="shared" si="6"/>
        <v>0.9512849162011171</v>
      </c>
      <c r="R10" s="573">
        <f>Q12</f>
        <v>0.95221833358693986</v>
      </c>
      <c r="S10" s="49">
        <v>0.20833333333333334</v>
      </c>
      <c r="T10" s="49">
        <v>0.33263888888888893</v>
      </c>
      <c r="U10" s="144"/>
      <c r="V10" s="148">
        <f t="shared" ref="V10:V11" si="13">(T10-S10)*24*60</f>
        <v>179.00000000000006</v>
      </c>
      <c r="W10" s="25"/>
      <c r="X10" s="25"/>
      <c r="Y10" s="25"/>
      <c r="Z10" s="25"/>
      <c r="AA10" s="575"/>
      <c r="AB10" s="575"/>
      <c r="AC10" s="50">
        <v>2</v>
      </c>
      <c r="AD10" s="27"/>
      <c r="AE10" s="20">
        <f t="shared" si="8"/>
        <v>-73.072625698324373</v>
      </c>
      <c r="AF10" s="145">
        <f t="shared" si="9"/>
        <v>0.9512849162011171</v>
      </c>
      <c r="AG10" s="573">
        <f>AF12</f>
        <v>0.95221833358693975</v>
      </c>
    </row>
    <row r="11" spans="1:33" ht="15.75" customHeight="1">
      <c r="A11" s="602" t="s">
        <v>613</v>
      </c>
      <c r="B11" s="39" t="s">
        <v>79</v>
      </c>
      <c r="C11" s="598" t="s">
        <v>81</v>
      </c>
      <c r="D11" s="599"/>
      <c r="E11" s="39">
        <v>39.799999999999997</v>
      </c>
      <c r="F11" s="149">
        <v>6124</v>
      </c>
      <c r="G11" s="144">
        <f t="shared" si="11"/>
        <v>243735.19999999998</v>
      </c>
      <c r="H11" s="48" t="s">
        <v>126</v>
      </c>
      <c r="I11" s="151">
        <v>17</v>
      </c>
      <c r="J11" s="43">
        <v>1500</v>
      </c>
      <c r="K11" s="18">
        <f t="shared" si="1"/>
        <v>88.235294117647058</v>
      </c>
      <c r="L11" s="147">
        <v>17</v>
      </c>
      <c r="M11" s="19">
        <f t="shared" si="12"/>
        <v>1429.7276264591435</v>
      </c>
      <c r="N11" s="18">
        <f t="shared" si="3"/>
        <v>84.101625085831969</v>
      </c>
      <c r="O11" s="20">
        <f t="shared" si="4"/>
        <v>0</v>
      </c>
      <c r="P11" s="21">
        <f t="shared" si="5"/>
        <v>-4.1336690318150886</v>
      </c>
      <c r="Q11" s="145">
        <f t="shared" si="6"/>
        <v>0.95315175097276228</v>
      </c>
      <c r="R11" s="573"/>
      <c r="S11" s="49">
        <v>0.33611111111111114</v>
      </c>
      <c r="T11" s="49">
        <v>0.51458333333333339</v>
      </c>
      <c r="U11" s="144">
        <f t="shared" ref="U11" si="14">IF(S11=TIME(17,0,0),"",(S11-T10)*24*60)</f>
        <v>4.9999999999999822</v>
      </c>
      <c r="V11" s="148">
        <f t="shared" si="13"/>
        <v>257.00000000000006</v>
      </c>
      <c r="W11" s="25"/>
      <c r="X11" s="25"/>
      <c r="Y11" s="25"/>
      <c r="Z11" s="25"/>
      <c r="AA11" s="575"/>
      <c r="AB11" s="575"/>
      <c r="AC11" s="50"/>
      <c r="AD11" s="27"/>
      <c r="AE11" s="20">
        <f t="shared" si="8"/>
        <v>-70.272373540856506</v>
      </c>
      <c r="AF11" s="145">
        <f t="shared" si="9"/>
        <v>0.95315175097276228</v>
      </c>
      <c r="AG11" s="573"/>
    </row>
    <row r="12" spans="1:33" ht="16.5" customHeight="1">
      <c r="A12" s="602" t="s">
        <v>47</v>
      </c>
      <c r="B12" s="39" t="s">
        <v>614</v>
      </c>
      <c r="C12" s="576"/>
      <c r="D12" s="576"/>
      <c r="E12" s="146"/>
      <c r="F12" s="43"/>
      <c r="G12" s="19"/>
      <c r="H12" s="149"/>
      <c r="I12" s="32">
        <v>18</v>
      </c>
      <c r="J12" s="43">
        <v>1500</v>
      </c>
      <c r="K12" s="18">
        <f t="shared" si="1"/>
        <v>83.333333333333329</v>
      </c>
      <c r="L12" s="32">
        <v>18</v>
      </c>
      <c r="M12" s="19">
        <f>AVERAGE(M10:M11)</f>
        <v>1428.3275003804097</v>
      </c>
      <c r="N12" s="18">
        <f t="shared" si="3"/>
        <v>79.351527798911647</v>
      </c>
      <c r="O12" s="20">
        <f t="shared" si="4"/>
        <v>0</v>
      </c>
      <c r="P12" s="21">
        <f t="shared" si="5"/>
        <v>-3.9818055344216816</v>
      </c>
      <c r="Q12" s="145">
        <f t="shared" si="6"/>
        <v>0.95221833358693986</v>
      </c>
      <c r="R12" s="573"/>
      <c r="S12" s="49"/>
      <c r="T12" s="49"/>
      <c r="U12" s="18"/>
      <c r="V12" s="148"/>
      <c r="W12" s="18"/>
      <c r="X12" s="18"/>
      <c r="Y12" s="33">
        <f>SUM(Y10:Y11)</f>
        <v>0</v>
      </c>
      <c r="Z12" s="33">
        <f>SUM(Z10:Z11)</f>
        <v>0</v>
      </c>
      <c r="AA12" s="572"/>
      <c r="AB12" s="572"/>
      <c r="AC12" s="33">
        <v>2</v>
      </c>
      <c r="AD12" s="33">
        <f>SUM(AD10:AD11)</f>
        <v>0</v>
      </c>
      <c r="AE12" s="20">
        <f t="shared" si="8"/>
        <v>-71.672499619590326</v>
      </c>
      <c r="AF12" s="145">
        <f t="shared" si="9"/>
        <v>0.95221833358693975</v>
      </c>
      <c r="AG12" s="573"/>
    </row>
    <row r="13" spans="1:33" ht="16.5" customHeight="1">
      <c r="A13" s="600" t="s">
        <v>615</v>
      </c>
      <c r="B13" s="149" t="s">
        <v>82</v>
      </c>
      <c r="C13" s="594" t="s">
        <v>83</v>
      </c>
      <c r="D13" s="594"/>
      <c r="E13" s="39">
        <v>41</v>
      </c>
      <c r="F13" s="149">
        <v>2123</v>
      </c>
      <c r="G13" s="144">
        <f t="shared" ref="G13:G16" si="15">E13*F13</f>
        <v>87043</v>
      </c>
      <c r="H13" s="48" t="s">
        <v>126</v>
      </c>
      <c r="I13" s="151">
        <v>26</v>
      </c>
      <c r="J13" s="43">
        <v>1500</v>
      </c>
      <c r="K13" s="18">
        <f t="shared" si="1"/>
        <v>57.692307692307693</v>
      </c>
      <c r="L13" s="147">
        <v>26</v>
      </c>
      <c r="M13" s="19">
        <f t="shared" ref="M13:M16" si="16">F13/V13*60</f>
        <v>1431.2359550561789</v>
      </c>
      <c r="N13" s="18">
        <f t="shared" si="3"/>
        <v>55.047536732929956</v>
      </c>
      <c r="O13" s="20">
        <f t="shared" si="4"/>
        <v>0</v>
      </c>
      <c r="P13" s="21">
        <f t="shared" si="5"/>
        <v>-2.6447709593777375</v>
      </c>
      <c r="Q13" s="145">
        <f t="shared" si="6"/>
        <v>0.95415730337078586</v>
      </c>
      <c r="R13" s="573">
        <f>Q17</f>
        <v>0.9546028571687255</v>
      </c>
      <c r="S13" s="49">
        <v>0.20833333333333334</v>
      </c>
      <c r="T13" s="49">
        <v>0.27013888888888893</v>
      </c>
      <c r="U13" s="144"/>
      <c r="V13" s="148">
        <f t="shared" ref="V13:V16" si="17">(T13-S13)*24*60</f>
        <v>89.000000000000043</v>
      </c>
      <c r="W13" s="30"/>
      <c r="X13" s="30"/>
      <c r="Y13" s="30"/>
      <c r="Z13" s="30"/>
      <c r="AA13" s="575"/>
      <c r="AB13" s="575"/>
      <c r="AC13" s="50">
        <v>4</v>
      </c>
      <c r="AD13" s="27"/>
      <c r="AE13" s="20">
        <f t="shared" si="8"/>
        <v>-68.764044943821091</v>
      </c>
      <c r="AF13" s="145">
        <f t="shared" si="9"/>
        <v>0.95415730337078597</v>
      </c>
      <c r="AG13" s="573">
        <f>AF17</f>
        <v>0.95460285716872539</v>
      </c>
    </row>
    <row r="14" spans="1:33" ht="16.5" customHeight="1">
      <c r="A14" s="601" t="s">
        <v>615</v>
      </c>
      <c r="B14" s="149" t="s">
        <v>74</v>
      </c>
      <c r="C14" s="594" t="s">
        <v>85</v>
      </c>
      <c r="D14" s="594"/>
      <c r="E14" s="39">
        <v>53.68</v>
      </c>
      <c r="F14" s="149">
        <v>1222</v>
      </c>
      <c r="G14" s="144">
        <f t="shared" si="15"/>
        <v>65596.960000000006</v>
      </c>
      <c r="H14" s="48" t="s">
        <v>126</v>
      </c>
      <c r="I14" s="151">
        <v>16</v>
      </c>
      <c r="J14" s="43">
        <v>1500</v>
      </c>
      <c r="K14" s="18">
        <f t="shared" si="1"/>
        <v>93.75</v>
      </c>
      <c r="L14" s="147">
        <v>16</v>
      </c>
      <c r="M14" s="19">
        <f t="shared" si="16"/>
        <v>1437.64705882353</v>
      </c>
      <c r="N14" s="18">
        <f t="shared" si="3"/>
        <v>89.852941176470623</v>
      </c>
      <c r="O14" s="20">
        <f t="shared" si="4"/>
        <v>0</v>
      </c>
      <c r="P14" s="21">
        <f t="shared" si="5"/>
        <v>-3.8970588235293775</v>
      </c>
      <c r="Q14" s="145">
        <f t="shared" si="6"/>
        <v>0.95843137254902</v>
      </c>
      <c r="R14" s="573"/>
      <c r="S14" s="49">
        <v>0.70833333333333337</v>
      </c>
      <c r="T14" s="49">
        <v>0.74375000000000002</v>
      </c>
      <c r="U14" s="144" t="str">
        <f t="shared" ref="U14:U16" si="18">IF(S14=TIME(17,0,0),"",(S14-T13)*24*60)</f>
        <v/>
      </c>
      <c r="V14" s="148">
        <f t="shared" si="17"/>
        <v>50.999999999999979</v>
      </c>
      <c r="W14" s="25"/>
      <c r="X14" s="25"/>
      <c r="Y14" s="25"/>
      <c r="Z14" s="25"/>
      <c r="AA14" s="575"/>
      <c r="AB14" s="575"/>
      <c r="AC14" s="50"/>
      <c r="AD14" s="27"/>
      <c r="AE14" s="20">
        <f t="shared" si="8"/>
        <v>-62.35294117647004</v>
      </c>
      <c r="AF14" s="145">
        <f t="shared" si="9"/>
        <v>0.95843137254902</v>
      </c>
      <c r="AG14" s="573"/>
    </row>
    <row r="15" spans="1:33" ht="16.5" customHeight="1">
      <c r="A15" s="601" t="s">
        <v>615</v>
      </c>
      <c r="B15" s="149" t="s">
        <v>74</v>
      </c>
      <c r="C15" s="594" t="s">
        <v>86</v>
      </c>
      <c r="D15" s="594"/>
      <c r="E15" s="39">
        <v>50.92</v>
      </c>
      <c r="F15" s="149">
        <v>2324</v>
      </c>
      <c r="G15" s="144">
        <f t="shared" si="15"/>
        <v>118338.08</v>
      </c>
      <c r="H15" s="48" t="s">
        <v>126</v>
      </c>
      <c r="I15" s="151">
        <v>15</v>
      </c>
      <c r="J15" s="43">
        <v>2000</v>
      </c>
      <c r="K15" s="18">
        <f t="shared" si="1"/>
        <v>133.33333333333334</v>
      </c>
      <c r="L15" s="147">
        <v>15</v>
      </c>
      <c r="M15" s="19">
        <f t="shared" si="16"/>
        <v>1910.1369863013683</v>
      </c>
      <c r="N15" s="18">
        <f t="shared" si="3"/>
        <v>127.34246575342455</v>
      </c>
      <c r="O15" s="20">
        <f t="shared" si="4"/>
        <v>0</v>
      </c>
      <c r="P15" s="21">
        <f t="shared" si="5"/>
        <v>-5.9908675799087945</v>
      </c>
      <c r="Q15" s="145">
        <f t="shared" si="6"/>
        <v>0.95506849315068409</v>
      </c>
      <c r="R15" s="573"/>
      <c r="S15" s="49">
        <v>0.74722222222222223</v>
      </c>
      <c r="T15" s="49">
        <v>0.79791666666666672</v>
      </c>
      <c r="U15" s="144">
        <f t="shared" si="18"/>
        <v>4.9999999999999822</v>
      </c>
      <c r="V15" s="148">
        <f t="shared" si="17"/>
        <v>73.000000000000057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-89.863013698631676</v>
      </c>
      <c r="AF15" s="145">
        <f t="shared" si="9"/>
        <v>0.95506849315068421</v>
      </c>
      <c r="AG15" s="573"/>
    </row>
    <row r="16" spans="1:33" ht="16.5" customHeight="1">
      <c r="A16" s="601" t="s">
        <v>616</v>
      </c>
      <c r="B16" s="149" t="s">
        <v>74</v>
      </c>
      <c r="C16" s="594" t="s">
        <v>87</v>
      </c>
      <c r="D16" s="594"/>
      <c r="E16" s="39">
        <v>57.3</v>
      </c>
      <c r="F16" s="149">
        <v>1586</v>
      </c>
      <c r="G16" s="144">
        <f t="shared" si="15"/>
        <v>90877.799999999988</v>
      </c>
      <c r="H16" s="48" t="s">
        <v>126</v>
      </c>
      <c r="I16" s="151">
        <v>13</v>
      </c>
      <c r="J16" s="43">
        <v>2000</v>
      </c>
      <c r="K16" s="18">
        <f t="shared" si="1"/>
        <v>153.84615384615384</v>
      </c>
      <c r="L16" s="147">
        <v>13</v>
      </c>
      <c r="M16" s="19">
        <f t="shared" si="16"/>
        <v>1903.2000000000005</v>
      </c>
      <c r="N16" s="18">
        <f t="shared" si="3"/>
        <v>146.40000000000003</v>
      </c>
      <c r="O16" s="20">
        <f t="shared" si="4"/>
        <v>0</v>
      </c>
      <c r="P16" s="21">
        <f t="shared" si="5"/>
        <v>-7.4461538461538055</v>
      </c>
      <c r="Q16" s="145">
        <f t="shared" si="6"/>
        <v>0.95160000000000022</v>
      </c>
      <c r="R16" s="573"/>
      <c r="S16" s="49">
        <v>0.80277777777777781</v>
      </c>
      <c r="T16" s="49">
        <v>0.83750000000000002</v>
      </c>
      <c r="U16" s="144">
        <f t="shared" si="18"/>
        <v>6.9999999999999751</v>
      </c>
      <c r="V16" s="148">
        <f t="shared" si="17"/>
        <v>49.999999999999986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-96.7999999999995</v>
      </c>
      <c r="AF16" s="145">
        <f t="shared" si="9"/>
        <v>0.95160000000000022</v>
      </c>
      <c r="AG16" s="573"/>
    </row>
    <row r="17" spans="1:33" ht="16.5" customHeight="1">
      <c r="A17" s="601" t="s">
        <v>617</v>
      </c>
      <c r="B17" s="39" t="s">
        <v>46</v>
      </c>
      <c r="C17" s="576"/>
      <c r="D17" s="576"/>
      <c r="E17" s="146"/>
      <c r="F17" s="42"/>
      <c r="G17" s="18"/>
      <c r="H17" s="149"/>
      <c r="I17" s="32">
        <v>17.5</v>
      </c>
      <c r="J17" s="43">
        <v>1750</v>
      </c>
      <c r="K17" s="18">
        <f t="shared" si="1"/>
        <v>100</v>
      </c>
      <c r="L17" s="32">
        <v>17.5</v>
      </c>
      <c r="M17" s="19">
        <f>AVERAGE(M13:M16)</f>
        <v>1670.5550000452695</v>
      </c>
      <c r="N17" s="18">
        <f t="shared" si="3"/>
        <v>95.460285716872548</v>
      </c>
      <c r="O17" s="20">
        <f t="shared" si="4"/>
        <v>0</v>
      </c>
      <c r="P17" s="21">
        <f t="shared" si="5"/>
        <v>-4.5397142831274522</v>
      </c>
      <c r="Q17" s="145">
        <f t="shared" si="6"/>
        <v>0.9546028571687255</v>
      </c>
      <c r="R17" s="573"/>
      <c r="S17" s="49"/>
      <c r="T17" s="49"/>
      <c r="U17" s="144"/>
      <c r="V17" s="148"/>
      <c r="W17" s="18"/>
      <c r="X17" s="18"/>
      <c r="Y17" s="33">
        <f>SUM(Y13:Y16)</f>
        <v>0</v>
      </c>
      <c r="Z17" s="33">
        <f>SUM(Z13:Z16)</f>
        <v>0</v>
      </c>
      <c r="AA17" s="572"/>
      <c r="AB17" s="572"/>
      <c r="AC17" s="33">
        <v>4</v>
      </c>
      <c r="AD17" s="33">
        <f>SUM(AD13:AD16)</f>
        <v>0</v>
      </c>
      <c r="AE17" s="20">
        <f t="shared" si="8"/>
        <v>-79.44499995473052</v>
      </c>
      <c r="AF17" s="145">
        <f t="shared" si="9"/>
        <v>0.95460285716872539</v>
      </c>
      <c r="AG17" s="573"/>
    </row>
    <row r="18" spans="1:33" ht="15.75" customHeight="1">
      <c r="A18" s="596" t="s">
        <v>618</v>
      </c>
      <c r="B18" s="39" t="s">
        <v>74</v>
      </c>
      <c r="C18" s="594" t="s">
        <v>84</v>
      </c>
      <c r="D18" s="594"/>
      <c r="E18" s="39">
        <v>54.09</v>
      </c>
      <c r="F18" s="149">
        <v>2284</v>
      </c>
      <c r="G18" s="144">
        <f t="shared" ref="G18:G23" si="19">E18*F18</f>
        <v>123541.56000000001</v>
      </c>
      <c r="H18" s="48" t="s">
        <v>126</v>
      </c>
      <c r="I18" s="151">
        <v>17</v>
      </c>
      <c r="J18" s="43">
        <v>1500</v>
      </c>
      <c r="K18" s="18">
        <f t="shared" si="1"/>
        <v>88.235294117647058</v>
      </c>
      <c r="L18" s="147">
        <v>17</v>
      </c>
      <c r="M18" s="19">
        <f t="shared" ref="M18:M23" si="20">F18/V18*60</f>
        <v>1442.5263157894731</v>
      </c>
      <c r="N18" s="18">
        <f t="shared" si="3"/>
        <v>84.854489164086658</v>
      </c>
      <c r="O18" s="20">
        <f t="shared" si="4"/>
        <v>0</v>
      </c>
      <c r="P18" s="21">
        <f t="shared" si="5"/>
        <v>-3.3808049535603999</v>
      </c>
      <c r="Q18" s="145">
        <f t="shared" si="6"/>
        <v>0.96168421052631547</v>
      </c>
      <c r="R18" s="573">
        <f>Q24</f>
        <v>0.95711857588780913</v>
      </c>
      <c r="S18" s="49">
        <v>0.20833333333333334</v>
      </c>
      <c r="T18" s="49">
        <v>0.27430555555555558</v>
      </c>
      <c r="U18" s="144"/>
      <c r="V18" s="148">
        <f t="shared" ref="V18:V23" si="21">(T18-S18)*24*60</f>
        <v>95.000000000000028</v>
      </c>
      <c r="W18" s="30"/>
      <c r="X18" s="30"/>
      <c r="Y18" s="30"/>
      <c r="Z18" s="30"/>
      <c r="AA18" s="575"/>
      <c r="AB18" s="575"/>
      <c r="AC18" s="50">
        <v>6</v>
      </c>
      <c r="AD18" s="27"/>
      <c r="AE18" s="20">
        <f t="shared" si="8"/>
        <v>-57.473684210526926</v>
      </c>
      <c r="AF18" s="145">
        <f t="shared" si="9"/>
        <v>0.96168421052631536</v>
      </c>
      <c r="AG18" s="573">
        <f>AF24</f>
        <v>0.95711857588780913</v>
      </c>
    </row>
    <row r="19" spans="1:33" ht="15.75" customHeight="1">
      <c r="A19" s="597" t="s">
        <v>618</v>
      </c>
      <c r="B19" s="39" t="s">
        <v>74</v>
      </c>
      <c r="C19" s="594" t="s">
        <v>89</v>
      </c>
      <c r="D19" s="594"/>
      <c r="E19" s="39">
        <v>50.67</v>
      </c>
      <c r="F19" s="149">
        <v>2145</v>
      </c>
      <c r="G19" s="144">
        <f t="shared" si="19"/>
        <v>108687.15000000001</v>
      </c>
      <c r="H19" s="48" t="s">
        <v>126</v>
      </c>
      <c r="I19" s="151">
        <v>17</v>
      </c>
      <c r="J19" s="43">
        <v>2000</v>
      </c>
      <c r="K19" s="18">
        <f t="shared" si="1"/>
        <v>117.64705882352941</v>
      </c>
      <c r="L19" s="147">
        <v>17</v>
      </c>
      <c r="M19" s="19">
        <f t="shared" si="20"/>
        <v>1920.8955223880596</v>
      </c>
      <c r="N19" s="18">
        <f t="shared" si="3"/>
        <v>112.99385425812115</v>
      </c>
      <c r="O19" s="20">
        <f t="shared" si="4"/>
        <v>0</v>
      </c>
      <c r="P19" s="21">
        <f t="shared" si="5"/>
        <v>-4.6532045654082594</v>
      </c>
      <c r="Q19" s="145">
        <f t="shared" si="6"/>
        <v>0.96044776119402975</v>
      </c>
      <c r="R19" s="573"/>
      <c r="S19" s="49">
        <v>0.27916666666666667</v>
      </c>
      <c r="T19" s="49">
        <v>0.32569444444444445</v>
      </c>
      <c r="U19" s="144">
        <f t="shared" ref="U19:U23" si="22">IF(S19=TIME(17,0,0),"",(S19-T18)*24*60)</f>
        <v>6.9999999999999751</v>
      </c>
      <c r="V19" s="148">
        <f t="shared" si="21"/>
        <v>67</v>
      </c>
      <c r="W19" s="25"/>
      <c r="X19" s="144"/>
      <c r="Y19" s="144"/>
      <c r="Z19" s="144"/>
      <c r="AA19" s="575"/>
      <c r="AB19" s="575"/>
      <c r="AC19" s="50"/>
      <c r="AD19" s="27"/>
      <c r="AE19" s="20">
        <f t="shared" si="8"/>
        <v>-79.10447761194041</v>
      </c>
      <c r="AF19" s="145">
        <f t="shared" si="9"/>
        <v>0.96044776119402975</v>
      </c>
      <c r="AG19" s="573"/>
    </row>
    <row r="20" spans="1:33" ht="15.75" customHeight="1">
      <c r="A20" s="597" t="s">
        <v>53</v>
      </c>
      <c r="B20" s="39" t="s">
        <v>74</v>
      </c>
      <c r="C20" s="594" t="s">
        <v>90</v>
      </c>
      <c r="D20" s="594"/>
      <c r="E20" s="39">
        <v>57.73</v>
      </c>
      <c r="F20" s="149">
        <v>2263</v>
      </c>
      <c r="G20" s="144">
        <f t="shared" si="19"/>
        <v>130642.98999999999</v>
      </c>
      <c r="H20" s="48" t="s">
        <v>126</v>
      </c>
      <c r="I20" s="151">
        <v>14</v>
      </c>
      <c r="J20" s="43">
        <v>2000</v>
      </c>
      <c r="K20" s="18">
        <f t="shared" si="1"/>
        <v>142.85714285714286</v>
      </c>
      <c r="L20" s="147">
        <v>14</v>
      </c>
      <c r="M20" s="19">
        <f t="shared" si="20"/>
        <v>1912.3943661971834</v>
      </c>
      <c r="N20" s="18">
        <f t="shared" si="3"/>
        <v>136.5995975855131</v>
      </c>
      <c r="O20" s="20">
        <f t="shared" si="4"/>
        <v>0</v>
      </c>
      <c r="P20" s="21">
        <f t="shared" si="5"/>
        <v>-6.2575452716297661</v>
      </c>
      <c r="Q20" s="145">
        <f t="shared" si="6"/>
        <v>0.95619718309859159</v>
      </c>
      <c r="R20" s="573"/>
      <c r="S20" s="49">
        <v>0.3298611111111111</v>
      </c>
      <c r="T20" s="49">
        <v>0.37916666666666665</v>
      </c>
      <c r="U20" s="144">
        <f t="shared" si="22"/>
        <v>5.9999999999999787</v>
      </c>
      <c r="V20" s="148">
        <f t="shared" si="21"/>
        <v>70.999999999999986</v>
      </c>
      <c r="W20" s="25"/>
      <c r="X20" s="144"/>
      <c r="Y20" s="144"/>
      <c r="Z20" s="144"/>
      <c r="AA20" s="575"/>
      <c r="AB20" s="575"/>
      <c r="AC20" s="50"/>
      <c r="AD20" s="27"/>
      <c r="AE20" s="20">
        <f t="shared" si="8"/>
        <v>-87.605633802816556</v>
      </c>
      <c r="AF20" s="145">
        <f t="shared" si="9"/>
        <v>0.9561971830985917</v>
      </c>
      <c r="AG20" s="573"/>
    </row>
    <row r="21" spans="1:33" ht="15.75" customHeight="1">
      <c r="A21" s="597" t="s">
        <v>619</v>
      </c>
      <c r="B21" s="39" t="s">
        <v>74</v>
      </c>
      <c r="C21" s="594" t="s">
        <v>91</v>
      </c>
      <c r="D21" s="594"/>
      <c r="E21" s="39">
        <v>53.68</v>
      </c>
      <c r="F21" s="149">
        <v>1247</v>
      </c>
      <c r="G21" s="144">
        <f t="shared" si="19"/>
        <v>66938.960000000006</v>
      </c>
      <c r="H21" s="48" t="s">
        <v>126</v>
      </c>
      <c r="I21" s="151">
        <v>16</v>
      </c>
      <c r="J21" s="43">
        <v>2000</v>
      </c>
      <c r="K21" s="18">
        <f t="shared" si="1"/>
        <v>125</v>
      </c>
      <c r="L21" s="147">
        <v>16</v>
      </c>
      <c r="M21" s="19">
        <f t="shared" si="20"/>
        <v>1918.4615384615374</v>
      </c>
      <c r="N21" s="18">
        <f t="shared" si="3"/>
        <v>119.90384615384609</v>
      </c>
      <c r="O21" s="20">
        <f t="shared" si="4"/>
        <v>0</v>
      </c>
      <c r="P21" s="21">
        <f t="shared" si="5"/>
        <v>-5.0961538461539106</v>
      </c>
      <c r="Q21" s="145">
        <f t="shared" si="6"/>
        <v>0.95923076923076867</v>
      </c>
      <c r="R21" s="573"/>
      <c r="S21" s="49">
        <v>0.3833333333333333</v>
      </c>
      <c r="T21" s="49">
        <v>0.41041666666666665</v>
      </c>
      <c r="U21" s="144">
        <f t="shared" si="22"/>
        <v>5.9999999999999787</v>
      </c>
      <c r="V21" s="148">
        <f t="shared" si="21"/>
        <v>39.000000000000021</v>
      </c>
      <c r="W21" s="25"/>
      <c r="X21" s="144"/>
      <c r="Y21" s="144"/>
      <c r="Z21" s="144"/>
      <c r="AA21" s="575"/>
      <c r="AB21" s="575"/>
      <c r="AC21" s="50"/>
      <c r="AD21" s="27"/>
      <c r="AE21" s="20">
        <f t="shared" si="8"/>
        <v>-81.53846153846257</v>
      </c>
      <c r="AF21" s="145">
        <f t="shared" si="9"/>
        <v>0.95923076923076867</v>
      </c>
      <c r="AG21" s="573"/>
    </row>
    <row r="22" spans="1:33" ht="15.75" customHeight="1">
      <c r="A22" s="597" t="s">
        <v>619</v>
      </c>
      <c r="B22" s="39" t="s">
        <v>74</v>
      </c>
      <c r="C22" s="594" t="s">
        <v>92</v>
      </c>
      <c r="D22" s="594"/>
      <c r="E22" s="39">
        <v>50.49</v>
      </c>
      <c r="F22" s="149">
        <v>2069</v>
      </c>
      <c r="G22" s="144">
        <f t="shared" si="19"/>
        <v>104463.81</v>
      </c>
      <c r="H22" s="48" t="s">
        <v>126</v>
      </c>
      <c r="I22" s="151">
        <v>15</v>
      </c>
      <c r="J22" s="43">
        <v>2000</v>
      </c>
      <c r="K22" s="18">
        <f t="shared" si="1"/>
        <v>133.33333333333334</v>
      </c>
      <c r="L22" s="147">
        <v>15</v>
      </c>
      <c r="M22" s="19">
        <f t="shared" si="20"/>
        <v>1909.8461538461561</v>
      </c>
      <c r="N22" s="18">
        <f t="shared" si="3"/>
        <v>127.32307692307707</v>
      </c>
      <c r="O22" s="20">
        <f t="shared" si="4"/>
        <v>0</v>
      </c>
      <c r="P22" s="21">
        <f t="shared" si="5"/>
        <v>-6.0102564102562752</v>
      </c>
      <c r="Q22" s="145">
        <f t="shared" si="6"/>
        <v>0.95492307692307798</v>
      </c>
      <c r="R22" s="573"/>
      <c r="S22" s="49">
        <v>0.70833333333333337</v>
      </c>
      <c r="T22" s="49">
        <v>0.75347222222222221</v>
      </c>
      <c r="U22" s="144" t="str">
        <f t="shared" si="22"/>
        <v/>
      </c>
      <c r="V22" s="148">
        <f t="shared" si="21"/>
        <v>64.999999999999929</v>
      </c>
      <c r="W22" s="25"/>
      <c r="X22" s="25"/>
      <c r="Y22" s="144"/>
      <c r="Z22" s="144"/>
      <c r="AA22" s="575"/>
      <c r="AB22" s="575"/>
      <c r="AC22" s="50"/>
      <c r="AD22" s="27"/>
      <c r="AE22" s="20">
        <f t="shared" si="8"/>
        <v>-90.153846153843915</v>
      </c>
      <c r="AF22" s="145">
        <f t="shared" si="9"/>
        <v>0.9549230769230781</v>
      </c>
      <c r="AG22" s="573"/>
    </row>
    <row r="23" spans="1:33" ht="15.75" customHeight="1">
      <c r="A23" s="597" t="s">
        <v>620</v>
      </c>
      <c r="B23" s="39" t="s">
        <v>74</v>
      </c>
      <c r="C23" s="594" t="s">
        <v>93</v>
      </c>
      <c r="D23" s="594"/>
      <c r="E23" s="39">
        <v>50.98</v>
      </c>
      <c r="F23" s="149">
        <v>2315</v>
      </c>
      <c r="G23" s="144">
        <f t="shared" si="19"/>
        <v>118018.7</v>
      </c>
      <c r="H23" s="48" t="s">
        <v>126</v>
      </c>
      <c r="I23" s="151">
        <v>16</v>
      </c>
      <c r="J23" s="43">
        <v>2000</v>
      </c>
      <c r="K23" s="18">
        <f t="shared" si="1"/>
        <v>125</v>
      </c>
      <c r="L23" s="147">
        <v>16</v>
      </c>
      <c r="M23" s="19">
        <f t="shared" si="20"/>
        <v>1902.7397260273958</v>
      </c>
      <c r="N23" s="18">
        <f t="shared" si="3"/>
        <v>118.92123287671224</v>
      </c>
      <c r="O23" s="20">
        <f t="shared" si="4"/>
        <v>0</v>
      </c>
      <c r="P23" s="21">
        <f t="shared" si="5"/>
        <v>-6.0787671232877614</v>
      </c>
      <c r="Q23" s="145">
        <f t="shared" si="6"/>
        <v>0.95136986301369786</v>
      </c>
      <c r="R23" s="573"/>
      <c r="S23" s="49">
        <v>0.75694444444444442</v>
      </c>
      <c r="T23" s="49">
        <v>0.80763888888888891</v>
      </c>
      <c r="U23" s="144">
        <f t="shared" si="22"/>
        <v>4.9999999999999822</v>
      </c>
      <c r="V23" s="148">
        <f t="shared" si="21"/>
        <v>73.000000000000057</v>
      </c>
      <c r="W23" s="25"/>
      <c r="X23" s="30"/>
      <c r="Y23" s="30"/>
      <c r="Z23" s="30"/>
      <c r="AA23" s="575"/>
      <c r="AB23" s="575"/>
      <c r="AC23" s="50"/>
      <c r="AD23" s="27"/>
      <c r="AE23" s="20">
        <f t="shared" si="8"/>
        <v>-97.260273972604182</v>
      </c>
      <c r="AF23" s="145">
        <f t="shared" si="9"/>
        <v>0.95136986301369786</v>
      </c>
      <c r="AG23" s="573"/>
    </row>
    <row r="24" spans="1:33" ht="15.75" customHeight="1">
      <c r="A24" s="597" t="s">
        <v>619</v>
      </c>
      <c r="B24" s="39" t="s">
        <v>46</v>
      </c>
      <c r="C24" s="576"/>
      <c r="D24" s="576"/>
      <c r="E24" s="146"/>
      <c r="F24" s="149"/>
      <c r="G24" s="144"/>
      <c r="H24" s="149"/>
      <c r="I24" s="32">
        <v>15.833333333333334</v>
      </c>
      <c r="J24" s="43">
        <v>1916.6666666666667</v>
      </c>
      <c r="K24" s="18">
        <f t="shared" si="1"/>
        <v>121.05263157894737</v>
      </c>
      <c r="L24" s="32">
        <v>15.833333333333334</v>
      </c>
      <c r="M24" s="19">
        <f>AVERAGE(M18:M23)</f>
        <v>1834.4772704516342</v>
      </c>
      <c r="N24" s="18">
        <f t="shared" si="3"/>
        <v>115.86172234431373</v>
      </c>
      <c r="O24" s="20">
        <f t="shared" si="4"/>
        <v>0</v>
      </c>
      <c r="P24" s="21">
        <f t="shared" si="5"/>
        <v>-5.1909092346336365</v>
      </c>
      <c r="Q24" s="145">
        <f t="shared" si="6"/>
        <v>0.95711857588780913</v>
      </c>
      <c r="R24" s="573"/>
      <c r="S24" s="49"/>
      <c r="T24" s="49"/>
      <c r="U24" s="18"/>
      <c r="V24" s="148"/>
      <c r="W24" s="18"/>
      <c r="X24" s="18"/>
      <c r="Y24" s="33">
        <f>SUM(Y18:Y23)</f>
        <v>0</v>
      </c>
      <c r="Z24" s="33">
        <f>SUM(Z18:Z23)</f>
        <v>0</v>
      </c>
      <c r="AA24" s="572"/>
      <c r="AB24" s="572"/>
      <c r="AC24" s="33">
        <v>6</v>
      </c>
      <c r="AD24" s="33">
        <f>SUM(AD18:AD23)</f>
        <v>0</v>
      </c>
      <c r="AE24" s="20">
        <f t="shared" si="8"/>
        <v>-82.189396215032502</v>
      </c>
      <c r="AF24" s="145">
        <f t="shared" si="9"/>
        <v>0.95711857588780913</v>
      </c>
      <c r="AG24" s="573"/>
    </row>
    <row r="25" spans="1:33" ht="15.75" customHeight="1">
      <c r="A25" s="595" t="s">
        <v>621</v>
      </c>
      <c r="B25" s="39" t="s">
        <v>94</v>
      </c>
      <c r="C25" s="594" t="s">
        <v>95</v>
      </c>
      <c r="D25" s="594"/>
      <c r="E25" s="39">
        <v>31.29</v>
      </c>
      <c r="F25" s="149">
        <v>6100</v>
      </c>
      <c r="G25" s="144">
        <f t="shared" ref="G25:G31" si="23">E25*F25</f>
        <v>190869</v>
      </c>
      <c r="H25" s="48">
        <v>2</v>
      </c>
      <c r="I25" s="151">
        <v>18</v>
      </c>
      <c r="J25" s="43">
        <v>2400</v>
      </c>
      <c r="K25" s="18">
        <f t="shared" si="1"/>
        <v>133.33333333333334</v>
      </c>
      <c r="L25" s="147">
        <v>18</v>
      </c>
      <c r="M25" s="19">
        <f t="shared" ref="M25:M31" si="24">F25/V25*60</f>
        <v>2287.5000000000005</v>
      </c>
      <c r="N25" s="18">
        <f t="shared" si="3"/>
        <v>127.08333333333336</v>
      </c>
      <c r="O25" s="20">
        <f t="shared" si="4"/>
        <v>0</v>
      </c>
      <c r="P25" s="21">
        <f t="shared" si="5"/>
        <v>-6.2499999999999858</v>
      </c>
      <c r="Q25" s="145">
        <f t="shared" si="6"/>
        <v>0.95312500000000011</v>
      </c>
      <c r="R25" s="573">
        <f>Q32</f>
        <v>0.9543637251716145</v>
      </c>
      <c r="S25" s="49">
        <v>8.3333333333333329E-2</v>
      </c>
      <c r="T25" s="49">
        <v>0.19444444444444442</v>
      </c>
      <c r="U25" s="144"/>
      <c r="V25" s="148">
        <f t="shared" ref="V25:V31" si="25">(T25-S25)*24*60</f>
        <v>159.99999999999997</v>
      </c>
      <c r="W25" s="25">
        <f>T25</f>
        <v>0.19444444444444442</v>
      </c>
      <c r="X25" s="25">
        <f>S26</f>
        <v>0.2118055555555555</v>
      </c>
      <c r="Y25" s="25"/>
      <c r="Z25" s="25"/>
      <c r="AA25" s="575"/>
      <c r="AB25" s="575"/>
      <c r="AC25" s="50">
        <v>7</v>
      </c>
      <c r="AD25" s="27"/>
      <c r="AE25" s="20">
        <f t="shared" si="8"/>
        <v>-112.49999999999955</v>
      </c>
      <c r="AF25" s="145">
        <f t="shared" si="9"/>
        <v>0.95312500000000022</v>
      </c>
      <c r="AG25" s="573">
        <f>AF32</f>
        <v>0.9543637251716145</v>
      </c>
    </row>
    <row r="26" spans="1:33" ht="15.75" customHeight="1">
      <c r="A26" s="595" t="s">
        <v>55</v>
      </c>
      <c r="B26" s="39" t="s">
        <v>94</v>
      </c>
      <c r="C26" s="594" t="s">
        <v>97</v>
      </c>
      <c r="D26" s="594"/>
      <c r="E26" s="39">
        <v>26.37</v>
      </c>
      <c r="F26" s="149">
        <v>3600</v>
      </c>
      <c r="G26" s="144">
        <f t="shared" si="23"/>
        <v>94932</v>
      </c>
      <c r="H26" s="48">
        <v>2</v>
      </c>
      <c r="I26" s="151">
        <v>19</v>
      </c>
      <c r="J26" s="43">
        <v>2400</v>
      </c>
      <c r="K26" s="18">
        <f t="shared" si="1"/>
        <v>126.31578947368421</v>
      </c>
      <c r="L26" s="147">
        <v>19</v>
      </c>
      <c r="M26" s="19">
        <f t="shared" si="24"/>
        <v>2297.8723404255311</v>
      </c>
      <c r="N26" s="18">
        <f t="shared" si="3"/>
        <v>120.94064949608058</v>
      </c>
      <c r="O26" s="20">
        <f t="shared" si="4"/>
        <v>0</v>
      </c>
      <c r="P26" s="21">
        <f t="shared" si="5"/>
        <v>-5.3751399776036237</v>
      </c>
      <c r="Q26" s="145">
        <f t="shared" si="6"/>
        <v>0.95744680851063801</v>
      </c>
      <c r="R26" s="573"/>
      <c r="S26" s="49">
        <v>0.2118055555555555</v>
      </c>
      <c r="T26" s="49">
        <v>0.27708333333333329</v>
      </c>
      <c r="U26" s="144">
        <f t="shared" ref="U26:U31" si="26">(S26-T25)*24*60</f>
        <v>24.99999999999995</v>
      </c>
      <c r="V26" s="148">
        <f t="shared" si="25"/>
        <v>94.000000000000028</v>
      </c>
      <c r="W26" s="25"/>
      <c r="X26" s="25"/>
      <c r="Y26" s="25"/>
      <c r="Z26" s="25"/>
      <c r="AA26" s="575"/>
      <c r="AB26" s="575"/>
      <c r="AC26" s="50"/>
      <c r="AD26" s="27"/>
      <c r="AE26" s="20">
        <f t="shared" si="8"/>
        <v>-102.12765957446891</v>
      </c>
      <c r="AF26" s="145">
        <f t="shared" si="9"/>
        <v>0.9574468085106379</v>
      </c>
      <c r="AG26" s="573"/>
    </row>
    <row r="27" spans="1:33" ht="15.75" customHeight="1">
      <c r="A27" s="595" t="s">
        <v>55</v>
      </c>
      <c r="B27" s="39" t="s">
        <v>94</v>
      </c>
      <c r="C27" s="594" t="s">
        <v>98</v>
      </c>
      <c r="D27" s="594"/>
      <c r="E27" s="39">
        <v>25.99</v>
      </c>
      <c r="F27" s="149">
        <v>2900</v>
      </c>
      <c r="G27" s="144">
        <f t="shared" si="23"/>
        <v>75371</v>
      </c>
      <c r="H27" s="48">
        <v>2</v>
      </c>
      <c r="I27" s="151">
        <v>14</v>
      </c>
      <c r="J27" s="43">
        <v>2400</v>
      </c>
      <c r="K27" s="18">
        <f t="shared" si="1"/>
        <v>171.42857142857142</v>
      </c>
      <c r="L27" s="147">
        <v>14</v>
      </c>
      <c r="M27" s="19">
        <f t="shared" si="24"/>
        <v>2289.4736842105272</v>
      </c>
      <c r="N27" s="18">
        <f t="shared" si="3"/>
        <v>163.53383458646621</v>
      </c>
      <c r="O27" s="20">
        <f t="shared" si="4"/>
        <v>0</v>
      </c>
      <c r="P27" s="21">
        <f t="shared" si="5"/>
        <v>-7.8947368421052033</v>
      </c>
      <c r="Q27" s="145">
        <f t="shared" si="6"/>
        <v>0.95394736842105299</v>
      </c>
      <c r="R27" s="573"/>
      <c r="S27" s="49">
        <v>0.28124999999999994</v>
      </c>
      <c r="T27" s="49">
        <v>0.3340277777777777</v>
      </c>
      <c r="U27" s="144">
        <f t="shared" si="26"/>
        <v>5.9999999999999787</v>
      </c>
      <c r="V27" s="148">
        <f t="shared" si="25"/>
        <v>75.999999999999972</v>
      </c>
      <c r="W27" s="25"/>
      <c r="X27" s="25"/>
      <c r="Y27" s="25"/>
      <c r="Z27" s="25"/>
      <c r="AA27" s="575"/>
      <c r="AB27" s="575"/>
      <c r="AC27" s="50"/>
      <c r="AD27" s="27"/>
      <c r="AE27" s="20">
        <f t="shared" si="8"/>
        <v>-110.52631578947285</v>
      </c>
      <c r="AF27" s="145">
        <f t="shared" si="9"/>
        <v>0.95394736842105299</v>
      </c>
      <c r="AG27" s="573"/>
    </row>
    <row r="28" spans="1:33" ht="15.75" customHeight="1">
      <c r="A28" s="595" t="s">
        <v>55</v>
      </c>
      <c r="B28" s="39" t="s">
        <v>94</v>
      </c>
      <c r="C28" s="594" t="s">
        <v>529</v>
      </c>
      <c r="D28" s="594"/>
      <c r="E28" s="39">
        <v>26.18</v>
      </c>
      <c r="F28" s="149">
        <v>9731</v>
      </c>
      <c r="G28" s="144">
        <f t="shared" si="23"/>
        <v>254757.58</v>
      </c>
      <c r="H28" s="48" t="s">
        <v>126</v>
      </c>
      <c r="I28" s="151">
        <v>19</v>
      </c>
      <c r="J28" s="43">
        <v>2400</v>
      </c>
      <c r="K28" s="18">
        <f t="shared" si="1"/>
        <v>126.31578947368421</v>
      </c>
      <c r="L28" s="147">
        <v>19</v>
      </c>
      <c r="M28" s="19">
        <f t="shared" si="24"/>
        <v>2289.6470588235288</v>
      </c>
      <c r="N28" s="18">
        <f t="shared" si="3"/>
        <v>120.50773993808046</v>
      </c>
      <c r="O28" s="20">
        <f t="shared" si="4"/>
        <v>0</v>
      </c>
      <c r="P28" s="21">
        <f t="shared" si="5"/>
        <v>-5.8080495356037432</v>
      </c>
      <c r="Q28" s="145">
        <f t="shared" si="6"/>
        <v>0.954019607843137</v>
      </c>
      <c r="R28" s="573"/>
      <c r="S28" s="49">
        <v>0.33819444444444435</v>
      </c>
      <c r="T28" s="49">
        <v>0.51527777777777772</v>
      </c>
      <c r="U28" s="144">
        <f t="shared" si="26"/>
        <v>5.9999999999999787</v>
      </c>
      <c r="V28" s="148">
        <f t="shared" si="25"/>
        <v>255.00000000000006</v>
      </c>
      <c r="W28" s="25">
        <f>T28</f>
        <v>0.51527777777777772</v>
      </c>
      <c r="X28" s="25">
        <f>S29</f>
        <v>0.55416666666666659</v>
      </c>
      <c r="Y28" s="25"/>
      <c r="Z28" s="25"/>
      <c r="AA28" s="575"/>
      <c r="AB28" s="575"/>
      <c r="AC28" s="50"/>
      <c r="AD28" s="27"/>
      <c r="AE28" s="20">
        <f t="shared" si="8"/>
        <v>-110.35294117647118</v>
      </c>
      <c r="AF28" s="145">
        <f t="shared" si="9"/>
        <v>0.954019607843137</v>
      </c>
      <c r="AG28" s="573"/>
    </row>
    <row r="29" spans="1:33" ht="15.75" customHeight="1">
      <c r="A29" s="595" t="s">
        <v>55</v>
      </c>
      <c r="B29" s="39" t="s">
        <v>94</v>
      </c>
      <c r="C29" s="594" t="s">
        <v>95</v>
      </c>
      <c r="D29" s="594"/>
      <c r="E29" s="39">
        <v>31.29</v>
      </c>
      <c r="F29" s="149">
        <v>4317</v>
      </c>
      <c r="G29" s="144">
        <f t="shared" si="23"/>
        <v>135078.93</v>
      </c>
      <c r="H29" s="48" t="s">
        <v>126</v>
      </c>
      <c r="I29" s="151">
        <v>18</v>
      </c>
      <c r="J29" s="43">
        <v>2400</v>
      </c>
      <c r="K29" s="18">
        <f t="shared" si="1"/>
        <v>133.33333333333334</v>
      </c>
      <c r="L29" s="147">
        <v>18</v>
      </c>
      <c r="M29" s="19">
        <f t="shared" si="24"/>
        <v>2292.2123893805328</v>
      </c>
      <c r="N29" s="18">
        <f t="shared" si="3"/>
        <v>127.34513274336294</v>
      </c>
      <c r="O29" s="20">
        <f t="shared" si="4"/>
        <v>0</v>
      </c>
      <c r="P29" s="21">
        <f t="shared" si="5"/>
        <v>-5.9882005899704041</v>
      </c>
      <c r="Q29" s="145">
        <f t="shared" si="6"/>
        <v>0.95508849557522202</v>
      </c>
      <c r="R29" s="573"/>
      <c r="S29" s="49">
        <v>0.55416666666666659</v>
      </c>
      <c r="T29" s="49">
        <v>0.63263888888888875</v>
      </c>
      <c r="U29" s="144">
        <f t="shared" si="26"/>
        <v>55.999999999999957</v>
      </c>
      <c r="V29" s="148">
        <f t="shared" si="25"/>
        <v>112.99999999999991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-107.78761061946716</v>
      </c>
      <c r="AF29" s="145">
        <f t="shared" si="9"/>
        <v>0.95508849557522202</v>
      </c>
      <c r="AG29" s="573"/>
    </row>
    <row r="30" spans="1:33" ht="15.75" customHeight="1">
      <c r="A30" s="595" t="s">
        <v>55</v>
      </c>
      <c r="B30" s="39" t="s">
        <v>94</v>
      </c>
      <c r="C30" s="594" t="s">
        <v>97</v>
      </c>
      <c r="D30" s="594"/>
      <c r="E30" s="39">
        <v>26.37</v>
      </c>
      <c r="F30" s="149">
        <v>2560</v>
      </c>
      <c r="G30" s="144">
        <f t="shared" si="23"/>
        <v>67507.199999999997</v>
      </c>
      <c r="H30" s="48" t="s">
        <v>126</v>
      </c>
      <c r="I30" s="151">
        <v>19</v>
      </c>
      <c r="J30" s="43">
        <v>2400</v>
      </c>
      <c r="K30" s="18">
        <f t="shared" si="1"/>
        <v>126.31578947368421</v>
      </c>
      <c r="L30" s="147">
        <v>19</v>
      </c>
      <c r="M30" s="19">
        <f t="shared" si="24"/>
        <v>2292.5373134328329</v>
      </c>
      <c r="N30" s="18">
        <f t="shared" si="3"/>
        <v>120.65985860172805</v>
      </c>
      <c r="O30" s="20">
        <f t="shared" si="4"/>
        <v>0</v>
      </c>
      <c r="P30" s="21">
        <f t="shared" si="5"/>
        <v>-5.6559308719561585</v>
      </c>
      <c r="Q30" s="145">
        <f t="shared" si="6"/>
        <v>0.9552238805970138</v>
      </c>
      <c r="R30" s="573"/>
      <c r="S30" s="49">
        <v>0.63749999999999984</v>
      </c>
      <c r="T30" s="49">
        <v>0.68402777777777768</v>
      </c>
      <c r="U30" s="144">
        <f t="shared" si="26"/>
        <v>6.9999999999999751</v>
      </c>
      <c r="V30" s="148">
        <f t="shared" si="25"/>
        <v>67.000000000000085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-107.46268656716711</v>
      </c>
      <c r="AF30" s="145">
        <f t="shared" si="9"/>
        <v>0.95522388059701369</v>
      </c>
      <c r="AG30" s="573"/>
    </row>
    <row r="31" spans="1:33" ht="15.75" customHeight="1">
      <c r="A31" s="595" t="s">
        <v>55</v>
      </c>
      <c r="B31" s="39" t="s">
        <v>94</v>
      </c>
      <c r="C31" s="594" t="s">
        <v>98</v>
      </c>
      <c r="D31" s="594"/>
      <c r="E31" s="39">
        <v>25.99</v>
      </c>
      <c r="F31" s="149">
        <v>2246</v>
      </c>
      <c r="G31" s="144">
        <f t="shared" si="23"/>
        <v>58373.539999999994</v>
      </c>
      <c r="H31" s="48" t="s">
        <v>126</v>
      </c>
      <c r="I31" s="151">
        <v>14</v>
      </c>
      <c r="J31" s="43">
        <v>2400</v>
      </c>
      <c r="K31" s="18">
        <f t="shared" si="1"/>
        <v>171.42857142857142</v>
      </c>
      <c r="L31" s="147">
        <v>14</v>
      </c>
      <c r="M31" s="19">
        <f t="shared" si="24"/>
        <v>2284.0677966101712</v>
      </c>
      <c r="N31" s="18">
        <f t="shared" si="3"/>
        <v>163.14769975786936</v>
      </c>
      <c r="O31" s="20">
        <f t="shared" si="4"/>
        <v>0</v>
      </c>
      <c r="P31" s="21">
        <f t="shared" si="5"/>
        <v>-8.2808716707020551</v>
      </c>
      <c r="Q31" s="145">
        <f t="shared" si="6"/>
        <v>0.95169491525423799</v>
      </c>
      <c r="R31" s="573"/>
      <c r="S31" s="49">
        <v>0.68819444444444433</v>
      </c>
      <c r="T31" s="49">
        <v>0.72916666666666652</v>
      </c>
      <c r="U31" s="144">
        <f t="shared" si="26"/>
        <v>5.9999999999999787</v>
      </c>
      <c r="V31" s="148">
        <f t="shared" si="25"/>
        <v>58.99999999999995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-115.93220338982883</v>
      </c>
      <c r="AF31" s="145">
        <f t="shared" si="9"/>
        <v>0.95169491525423799</v>
      </c>
      <c r="AG31" s="573"/>
    </row>
    <row r="32" spans="1:33" ht="15.75" customHeight="1">
      <c r="A32" s="595" t="s">
        <v>55</v>
      </c>
      <c r="B32" s="39" t="s">
        <v>46</v>
      </c>
      <c r="C32" s="576"/>
      <c r="D32" s="576"/>
      <c r="E32" s="146"/>
      <c r="F32" s="149"/>
      <c r="G32" s="144"/>
      <c r="H32" s="149"/>
      <c r="I32" s="32">
        <v>17.285714285714285</v>
      </c>
      <c r="J32" s="43">
        <v>2400</v>
      </c>
      <c r="K32" s="18">
        <f t="shared" si="1"/>
        <v>138.84297520661158</v>
      </c>
      <c r="L32" s="32">
        <v>17.285714285714285</v>
      </c>
      <c r="M32" s="19">
        <f>AVERAGE(M25:M31)</f>
        <v>2290.4729404118748</v>
      </c>
      <c r="N32" s="18">
        <f t="shared" si="3"/>
        <v>132.50669903209194</v>
      </c>
      <c r="O32" s="20">
        <f t="shared" si="4"/>
        <v>0</v>
      </c>
      <c r="P32" s="21">
        <f t="shared" si="5"/>
        <v>-6.3362761745196394</v>
      </c>
      <c r="Q32" s="145">
        <f t="shared" si="6"/>
        <v>0.9543637251716145</v>
      </c>
      <c r="R32" s="573"/>
      <c r="S32" s="49"/>
      <c r="T32" s="49"/>
      <c r="U32" s="144"/>
      <c r="V32" s="148"/>
      <c r="W32" s="144"/>
      <c r="X32" s="144"/>
      <c r="Y32" s="33">
        <f>SUM(Y25:Y31)</f>
        <v>0</v>
      </c>
      <c r="Z32" s="33">
        <f>SUM(Z25:Z31)</f>
        <v>0</v>
      </c>
      <c r="AA32" s="572"/>
      <c r="AB32" s="572"/>
      <c r="AC32" s="33">
        <v>7</v>
      </c>
      <c r="AD32" s="33">
        <f>SUM(AD25:AD31)</f>
        <v>0</v>
      </c>
      <c r="AE32" s="20">
        <f t="shared" si="8"/>
        <v>-109.52705958812521</v>
      </c>
      <c r="AF32" s="145">
        <f t="shared" si="9"/>
        <v>0.9543637251716145</v>
      </c>
      <c r="AG32" s="573"/>
    </row>
    <row r="33" spans="1:33" ht="15.75" customHeight="1">
      <c r="A33" s="592" t="s">
        <v>58</v>
      </c>
      <c r="B33" s="39" t="s">
        <v>94</v>
      </c>
      <c r="C33" s="574" t="s">
        <v>530</v>
      </c>
      <c r="D33" s="574"/>
      <c r="E33" s="39">
        <v>26.18</v>
      </c>
      <c r="F33" s="149">
        <v>5700</v>
      </c>
      <c r="G33" s="144">
        <f t="shared" ref="G33:G40" si="27">E33*F33</f>
        <v>149226</v>
      </c>
      <c r="H33" s="48">
        <v>2</v>
      </c>
      <c r="I33" s="151">
        <v>21</v>
      </c>
      <c r="J33" s="43">
        <v>2400</v>
      </c>
      <c r="K33" s="18">
        <f t="shared" si="1"/>
        <v>114.28571428571429</v>
      </c>
      <c r="L33" s="147">
        <v>21</v>
      </c>
      <c r="M33" s="19">
        <f t="shared" ref="M33:M40" si="28">F33/V33*60</f>
        <v>2295.3020134228186</v>
      </c>
      <c r="N33" s="18">
        <f t="shared" si="3"/>
        <v>109.30009587727707</v>
      </c>
      <c r="O33" s="20">
        <f t="shared" si="4"/>
        <v>0</v>
      </c>
      <c r="P33" s="21">
        <f t="shared" si="5"/>
        <v>-4.9856184084372188</v>
      </c>
      <c r="Q33" s="145">
        <f t="shared" si="6"/>
        <v>0.95637583892617439</v>
      </c>
      <c r="R33" s="573">
        <f>Q41</f>
        <v>0.95713998420752244</v>
      </c>
      <c r="S33" s="49">
        <v>8.3333333333333329E-2</v>
      </c>
      <c r="T33" s="49">
        <v>0.18680555555555556</v>
      </c>
      <c r="U33" s="144"/>
      <c r="V33" s="148">
        <f t="shared" ref="V33:V40" si="29">(T33-S33)*24*60</f>
        <v>149</v>
      </c>
      <c r="W33" s="30">
        <f>T33</f>
        <v>0.18680555555555556</v>
      </c>
      <c r="X33" s="30">
        <f>S34</f>
        <v>0.20624999999999999</v>
      </c>
      <c r="Y33" s="30"/>
      <c r="Z33" s="30"/>
      <c r="AA33" s="575"/>
      <c r="AB33" s="575"/>
      <c r="AC33" s="50">
        <v>8</v>
      </c>
      <c r="AD33" s="27"/>
      <c r="AE33" s="20">
        <f t="shared" si="8"/>
        <v>-104.69798657718138</v>
      </c>
      <c r="AF33" s="145">
        <f t="shared" si="9"/>
        <v>0.95637583892617439</v>
      </c>
      <c r="AG33" s="573">
        <f>AF41</f>
        <v>0.95713998420752244</v>
      </c>
    </row>
    <row r="34" spans="1:33" ht="15.75" customHeight="1">
      <c r="A34" s="592" t="s">
        <v>58</v>
      </c>
      <c r="B34" s="39" t="s">
        <v>94</v>
      </c>
      <c r="C34" s="574" t="s">
        <v>100</v>
      </c>
      <c r="D34" s="574"/>
      <c r="E34" s="39">
        <v>24.43</v>
      </c>
      <c r="F34" s="149">
        <v>4400</v>
      </c>
      <c r="G34" s="144">
        <f t="shared" si="27"/>
        <v>107492</v>
      </c>
      <c r="H34" s="48">
        <v>2</v>
      </c>
      <c r="I34" s="151">
        <v>14</v>
      </c>
      <c r="J34" s="43">
        <v>2400</v>
      </c>
      <c r="K34" s="18">
        <f t="shared" si="1"/>
        <v>171.42857142857142</v>
      </c>
      <c r="L34" s="147">
        <v>14</v>
      </c>
      <c r="M34" s="19">
        <f t="shared" si="28"/>
        <v>2295.652173913044</v>
      </c>
      <c r="N34" s="18">
        <f t="shared" si="3"/>
        <v>163.97515527950313</v>
      </c>
      <c r="O34" s="20">
        <f t="shared" si="4"/>
        <v>0</v>
      </c>
      <c r="P34" s="21">
        <f t="shared" si="5"/>
        <v>-7.4534161490682891</v>
      </c>
      <c r="Q34" s="145">
        <f t="shared" si="6"/>
        <v>0.95652173913043492</v>
      </c>
      <c r="R34" s="573"/>
      <c r="S34" s="49">
        <v>0.20624999999999999</v>
      </c>
      <c r="T34" s="49">
        <v>0.28611111111111109</v>
      </c>
      <c r="U34" s="144">
        <f t="shared" ref="U34:U40" si="30">(S34-T33)*24*60</f>
        <v>27.999999999999979</v>
      </c>
      <c r="V34" s="148">
        <f t="shared" si="29"/>
        <v>114.99999999999999</v>
      </c>
      <c r="W34" s="144"/>
      <c r="X34" s="144"/>
      <c r="Y34" s="144"/>
      <c r="Z34" s="144"/>
      <c r="AA34" s="575"/>
      <c r="AB34" s="575"/>
      <c r="AC34" s="50"/>
      <c r="AD34" s="27"/>
      <c r="AE34" s="20">
        <f t="shared" si="8"/>
        <v>-104.34782608695605</v>
      </c>
      <c r="AF34" s="145">
        <f t="shared" si="9"/>
        <v>0.95652173913043503</v>
      </c>
      <c r="AG34" s="573"/>
    </row>
    <row r="35" spans="1:33">
      <c r="A35" s="593" t="s">
        <v>58</v>
      </c>
      <c r="B35" s="39" t="s">
        <v>94</v>
      </c>
      <c r="C35" s="574" t="s">
        <v>103</v>
      </c>
      <c r="D35" s="574"/>
      <c r="E35" s="39">
        <v>20.2</v>
      </c>
      <c r="F35" s="149">
        <v>2507</v>
      </c>
      <c r="G35" s="144">
        <f t="shared" si="27"/>
        <v>50641.4</v>
      </c>
      <c r="H35" s="48" t="s">
        <v>126</v>
      </c>
      <c r="I35" s="151">
        <v>15</v>
      </c>
      <c r="J35" s="43">
        <v>2400</v>
      </c>
      <c r="K35" s="18">
        <f t="shared" si="1"/>
        <v>160</v>
      </c>
      <c r="L35" s="147">
        <v>15</v>
      </c>
      <c r="M35" s="19">
        <f t="shared" si="28"/>
        <v>2314.1538461538457</v>
      </c>
      <c r="N35" s="18">
        <f t="shared" si="3"/>
        <v>154.27692307692305</v>
      </c>
      <c r="O35" s="20">
        <f t="shared" si="4"/>
        <v>0</v>
      </c>
      <c r="P35" s="21">
        <f t="shared" si="5"/>
        <v>-5.7230769230769454</v>
      </c>
      <c r="Q35" s="145">
        <f t="shared" si="6"/>
        <v>0.96423076923076911</v>
      </c>
      <c r="R35" s="573"/>
      <c r="S35" s="49">
        <v>0.29027777777777775</v>
      </c>
      <c r="T35" s="49">
        <v>0.33541666666666664</v>
      </c>
      <c r="U35" s="144">
        <f t="shared" si="30"/>
        <v>5.9999999999999787</v>
      </c>
      <c r="V35" s="148">
        <f t="shared" si="29"/>
        <v>65.000000000000014</v>
      </c>
      <c r="W35" s="144"/>
      <c r="X35" s="144"/>
      <c r="Y35" s="144"/>
      <c r="Z35" s="144"/>
      <c r="AA35" s="575"/>
      <c r="AB35" s="575"/>
      <c r="AC35" s="50"/>
      <c r="AD35" s="27"/>
      <c r="AE35" s="20">
        <f t="shared" si="8"/>
        <v>-85.846153846154266</v>
      </c>
      <c r="AF35" s="145">
        <f t="shared" si="9"/>
        <v>0.964230769230769</v>
      </c>
      <c r="AG35" s="573"/>
    </row>
    <row r="36" spans="1:33">
      <c r="A36" s="593" t="s">
        <v>58</v>
      </c>
      <c r="B36" s="39" t="s">
        <v>94</v>
      </c>
      <c r="C36" s="574" t="s">
        <v>102</v>
      </c>
      <c r="D36" s="574"/>
      <c r="E36" s="39">
        <v>34.1</v>
      </c>
      <c r="F36" s="149">
        <v>3700</v>
      </c>
      <c r="G36" s="144">
        <f t="shared" si="27"/>
        <v>126170</v>
      </c>
      <c r="H36" s="48">
        <v>2</v>
      </c>
      <c r="I36" s="151">
        <v>17</v>
      </c>
      <c r="J36" s="43">
        <v>1600</v>
      </c>
      <c r="K36" s="18">
        <f t="shared" si="1"/>
        <v>94.117647058823536</v>
      </c>
      <c r="L36" s="147">
        <v>17</v>
      </c>
      <c r="M36" s="19">
        <f t="shared" si="28"/>
        <v>1531.0344827586209</v>
      </c>
      <c r="N36" s="18">
        <f t="shared" si="3"/>
        <v>90.060851926977705</v>
      </c>
      <c r="O36" s="20">
        <f t="shared" si="4"/>
        <v>0</v>
      </c>
      <c r="P36" s="21">
        <f t="shared" si="5"/>
        <v>-4.0567951318458313</v>
      </c>
      <c r="Q36" s="145">
        <f t="shared" si="6"/>
        <v>0.95689655172413801</v>
      </c>
      <c r="R36" s="573"/>
      <c r="S36" s="49">
        <v>0.33888888888888885</v>
      </c>
      <c r="T36" s="49">
        <v>0.43958333333333327</v>
      </c>
      <c r="U36" s="144">
        <f t="shared" si="30"/>
        <v>4.9999999999999822</v>
      </c>
      <c r="V36" s="148">
        <f t="shared" si="29"/>
        <v>144.99999999999997</v>
      </c>
      <c r="W36" s="25"/>
      <c r="X36" s="25"/>
      <c r="Y36" s="25"/>
      <c r="Z36" s="25"/>
      <c r="AA36" s="575"/>
      <c r="AB36" s="575"/>
      <c r="AC36" s="50"/>
      <c r="AD36" s="27"/>
      <c r="AE36" s="20">
        <f t="shared" si="8"/>
        <v>-68.965517241379075</v>
      </c>
      <c r="AF36" s="145">
        <f t="shared" si="9"/>
        <v>0.95689655172413812</v>
      </c>
      <c r="AG36" s="573"/>
    </row>
    <row r="37" spans="1:33">
      <c r="A37" s="593" t="s">
        <v>58</v>
      </c>
      <c r="B37" s="39" t="s">
        <v>94</v>
      </c>
      <c r="C37" s="574" t="s">
        <v>122</v>
      </c>
      <c r="D37" s="574"/>
      <c r="E37" s="39">
        <v>20.52</v>
      </c>
      <c r="F37" s="149">
        <v>3387</v>
      </c>
      <c r="G37" s="144">
        <f t="shared" si="27"/>
        <v>69501.240000000005</v>
      </c>
      <c r="H37" s="48" t="s">
        <v>126</v>
      </c>
      <c r="I37" s="151">
        <v>18</v>
      </c>
      <c r="J37" s="43">
        <v>2400</v>
      </c>
      <c r="K37" s="18">
        <f t="shared" si="1"/>
        <v>133.33333333333334</v>
      </c>
      <c r="L37" s="147">
        <v>18</v>
      </c>
      <c r="M37" s="19">
        <f t="shared" si="28"/>
        <v>2283.3707865168517</v>
      </c>
      <c r="N37" s="18">
        <f t="shared" si="3"/>
        <v>126.85393258426954</v>
      </c>
      <c r="O37" s="20">
        <f t="shared" si="4"/>
        <v>0</v>
      </c>
      <c r="P37" s="21">
        <f t="shared" si="5"/>
        <v>-6.4794007490637995</v>
      </c>
      <c r="Q37" s="145">
        <f t="shared" si="6"/>
        <v>0.95140449438202146</v>
      </c>
      <c r="R37" s="573"/>
      <c r="S37" s="49">
        <v>0.44513888888888881</v>
      </c>
      <c r="T37" s="49">
        <v>0.50694444444444442</v>
      </c>
      <c r="U37" s="144">
        <f t="shared" si="30"/>
        <v>7.9999999999999716</v>
      </c>
      <c r="V37" s="148">
        <f t="shared" si="29"/>
        <v>89.000000000000085</v>
      </c>
      <c r="W37" s="25">
        <f>T37</f>
        <v>0.50694444444444442</v>
      </c>
      <c r="X37" s="25">
        <f>S38</f>
        <v>0.54930555555555549</v>
      </c>
      <c r="Y37" s="25"/>
      <c r="Z37" s="25"/>
      <c r="AA37" s="575"/>
      <c r="AB37" s="575"/>
      <c r="AC37" s="50"/>
      <c r="AD37" s="27"/>
      <c r="AE37" s="20">
        <f t="shared" si="8"/>
        <v>-116.62921348314831</v>
      </c>
      <c r="AF37" s="145">
        <f t="shared" si="9"/>
        <v>0.95140449438202157</v>
      </c>
      <c r="AG37" s="573"/>
    </row>
    <row r="38" spans="1:33">
      <c r="A38" s="593" t="s">
        <v>58</v>
      </c>
      <c r="B38" s="39" t="s">
        <v>94</v>
      </c>
      <c r="C38" s="574" t="s">
        <v>100</v>
      </c>
      <c r="D38" s="574"/>
      <c r="E38" s="39">
        <v>24.43</v>
      </c>
      <c r="F38" s="149">
        <v>3065</v>
      </c>
      <c r="G38" s="144">
        <f t="shared" si="27"/>
        <v>74877.95</v>
      </c>
      <c r="H38" s="48" t="s">
        <v>126</v>
      </c>
      <c r="I38" s="151">
        <v>14</v>
      </c>
      <c r="J38" s="43">
        <v>2400</v>
      </c>
      <c r="K38" s="18">
        <f t="shared" si="1"/>
        <v>171.42857142857142</v>
      </c>
      <c r="L38" s="147">
        <v>14</v>
      </c>
      <c r="M38" s="19">
        <f t="shared" si="28"/>
        <v>2298.7499999999991</v>
      </c>
      <c r="N38" s="18">
        <f t="shared" si="3"/>
        <v>164.1964285714285</v>
      </c>
      <c r="O38" s="20">
        <f t="shared" si="4"/>
        <v>0</v>
      </c>
      <c r="P38" s="21">
        <f t="shared" si="5"/>
        <v>-7.232142857142918</v>
      </c>
      <c r="Q38" s="145">
        <f t="shared" si="6"/>
        <v>0.95781249999999962</v>
      </c>
      <c r="R38" s="573"/>
      <c r="S38" s="49">
        <v>0.54930555555555549</v>
      </c>
      <c r="T38" s="49">
        <v>0.60486111111111107</v>
      </c>
      <c r="U38" s="144">
        <f t="shared" si="30"/>
        <v>60.999999999999943</v>
      </c>
      <c r="V38" s="148">
        <f t="shared" si="29"/>
        <v>80.000000000000028</v>
      </c>
      <c r="W38" s="25"/>
      <c r="X38" s="25"/>
      <c r="Y38" s="25"/>
      <c r="Z38" s="25"/>
      <c r="AA38" s="575"/>
      <c r="AB38" s="575"/>
      <c r="AC38" s="50"/>
      <c r="AD38" s="27"/>
      <c r="AE38" s="20">
        <f t="shared" si="8"/>
        <v>-101.25000000000091</v>
      </c>
      <c r="AF38" s="145">
        <f t="shared" si="9"/>
        <v>0.95781249999999962</v>
      </c>
      <c r="AG38" s="573"/>
    </row>
    <row r="39" spans="1:33">
      <c r="A39" s="593" t="s">
        <v>58</v>
      </c>
      <c r="B39" s="39" t="s">
        <v>94</v>
      </c>
      <c r="C39" s="574" t="s">
        <v>530</v>
      </c>
      <c r="D39" s="574"/>
      <c r="E39" s="39">
        <v>26.18</v>
      </c>
      <c r="F39" s="149">
        <v>4045</v>
      </c>
      <c r="G39" s="144">
        <f t="shared" si="27"/>
        <v>105898.1</v>
      </c>
      <c r="H39" s="48" t="s">
        <v>126</v>
      </c>
      <c r="I39" s="151">
        <v>21</v>
      </c>
      <c r="J39" s="43">
        <v>2400</v>
      </c>
      <c r="K39" s="18">
        <f t="shared" si="1"/>
        <v>114.28571428571429</v>
      </c>
      <c r="L39" s="147">
        <v>21</v>
      </c>
      <c r="M39" s="19">
        <f t="shared" si="28"/>
        <v>2289.6226415094352</v>
      </c>
      <c r="N39" s="18">
        <f t="shared" si="3"/>
        <v>109.02964959568739</v>
      </c>
      <c r="O39" s="20">
        <f t="shared" si="4"/>
        <v>0</v>
      </c>
      <c r="P39" s="21">
        <f t="shared" si="5"/>
        <v>-5.2560646900269035</v>
      </c>
      <c r="Q39" s="145">
        <f t="shared" si="6"/>
        <v>0.95400943396226456</v>
      </c>
      <c r="R39" s="573"/>
      <c r="S39" s="49">
        <v>0.60902777777777772</v>
      </c>
      <c r="T39" s="49">
        <v>0.6826388888888888</v>
      </c>
      <c r="U39" s="144">
        <f t="shared" si="30"/>
        <v>5.9999999999999787</v>
      </c>
      <c r="V39" s="148">
        <f t="shared" si="29"/>
        <v>105.99999999999994</v>
      </c>
      <c r="W39" s="25"/>
      <c r="X39" s="25"/>
      <c r="Y39" s="28"/>
      <c r="Z39" s="28"/>
      <c r="AA39" s="568"/>
      <c r="AB39" s="569"/>
      <c r="AC39" s="50"/>
      <c r="AD39" s="27"/>
      <c r="AE39" s="20">
        <f t="shared" si="8"/>
        <v>-110.3773584905648</v>
      </c>
      <c r="AF39" s="145">
        <f t="shared" si="9"/>
        <v>0.95400943396226467</v>
      </c>
      <c r="AG39" s="573"/>
    </row>
    <row r="40" spans="1:33">
      <c r="A40" s="593" t="s">
        <v>58</v>
      </c>
      <c r="B40" s="39" t="s">
        <v>94</v>
      </c>
      <c r="C40" s="574" t="s">
        <v>102</v>
      </c>
      <c r="D40" s="574"/>
      <c r="E40" s="39">
        <v>34.1</v>
      </c>
      <c r="F40" s="149">
        <v>2768</v>
      </c>
      <c r="G40" s="144">
        <f t="shared" si="27"/>
        <v>94388.800000000003</v>
      </c>
      <c r="H40" s="48" t="s">
        <v>126</v>
      </c>
      <c r="I40" s="151">
        <v>17</v>
      </c>
      <c r="J40" s="43">
        <v>1600</v>
      </c>
      <c r="K40" s="18">
        <f t="shared" si="1"/>
        <v>94.117647058823536</v>
      </c>
      <c r="L40" s="147">
        <v>17</v>
      </c>
      <c r="M40" s="19">
        <f t="shared" si="28"/>
        <v>1537.7777777777787</v>
      </c>
      <c r="N40" s="18">
        <f t="shared" si="3"/>
        <v>90.457516339869343</v>
      </c>
      <c r="O40" s="20">
        <f t="shared" si="4"/>
        <v>0</v>
      </c>
      <c r="P40" s="21">
        <f t="shared" si="5"/>
        <v>-3.6601307189541927</v>
      </c>
      <c r="Q40" s="145">
        <f t="shared" si="6"/>
        <v>0.96111111111111169</v>
      </c>
      <c r="R40" s="573"/>
      <c r="S40" s="49">
        <v>0.68819444444444433</v>
      </c>
      <c r="T40" s="49">
        <v>0.76319444444444429</v>
      </c>
      <c r="U40" s="144">
        <f t="shared" si="30"/>
        <v>7.9999999999999716</v>
      </c>
      <c r="V40" s="148">
        <f t="shared" si="29"/>
        <v>107.99999999999994</v>
      </c>
      <c r="W40" s="25"/>
      <c r="X40" s="25"/>
      <c r="Y40" s="28"/>
      <c r="Z40" s="28"/>
      <c r="AA40" s="568"/>
      <c r="AB40" s="569"/>
      <c r="AC40" s="50"/>
      <c r="AD40" s="27"/>
      <c r="AE40" s="20">
        <f t="shared" si="8"/>
        <v>-62.222222222221262</v>
      </c>
      <c r="AF40" s="145">
        <f t="shared" si="9"/>
        <v>0.96111111111111169</v>
      </c>
      <c r="AG40" s="573"/>
    </row>
    <row r="41" spans="1:33">
      <c r="A41" s="593" t="s">
        <v>58</v>
      </c>
      <c r="B41" s="42" t="s">
        <v>46</v>
      </c>
      <c r="C41" s="576"/>
      <c r="D41" s="576"/>
      <c r="E41" s="146"/>
      <c r="F41" s="42"/>
      <c r="G41" s="18"/>
      <c r="H41" s="149"/>
      <c r="I41" s="32">
        <v>17.125</v>
      </c>
      <c r="J41" s="43">
        <v>2200</v>
      </c>
      <c r="K41" s="18">
        <f t="shared" si="1"/>
        <v>128.46715328467153</v>
      </c>
      <c r="L41" s="32">
        <v>17.125</v>
      </c>
      <c r="M41" s="19">
        <f>AVERAGE(M33:M40)</f>
        <v>2105.7079652565494</v>
      </c>
      <c r="N41" s="18">
        <f t="shared" si="3"/>
        <v>122.96104906607587</v>
      </c>
      <c r="O41" s="20">
        <f t="shared" si="4"/>
        <v>0</v>
      </c>
      <c r="P41" s="21">
        <f t="shared" si="5"/>
        <v>-5.5061042185956524</v>
      </c>
      <c r="Q41" s="145">
        <f t="shared" si="6"/>
        <v>0.95713998420752244</v>
      </c>
      <c r="R41" s="573"/>
      <c r="S41" s="49"/>
      <c r="T41" s="49"/>
      <c r="U41" s="18"/>
      <c r="V41" s="148"/>
      <c r="W41" s="18"/>
      <c r="X41" s="18"/>
      <c r="Y41" s="33">
        <f>SUM(Y33:Y40)</f>
        <v>0</v>
      </c>
      <c r="Z41" s="33">
        <f>SUM(Z33:Z40)</f>
        <v>0</v>
      </c>
      <c r="AA41" s="572"/>
      <c r="AB41" s="572"/>
      <c r="AC41" s="33">
        <v>8</v>
      </c>
      <c r="AD41" s="33">
        <f>SUM(AD33:AD40)</f>
        <v>0</v>
      </c>
      <c r="AE41" s="20">
        <f t="shared" si="8"/>
        <v>-94.292034743450586</v>
      </c>
      <c r="AF41" s="145">
        <f t="shared" si="9"/>
        <v>0.95713998420752244</v>
      </c>
      <c r="AG41" s="573"/>
    </row>
    <row r="42" spans="1:33" ht="15.75" customHeight="1">
      <c r="A42" s="589" t="s">
        <v>622</v>
      </c>
      <c r="B42" s="39" t="s">
        <v>104</v>
      </c>
      <c r="C42" s="566" t="s">
        <v>105</v>
      </c>
      <c r="D42" s="567"/>
      <c r="E42" s="39">
        <v>37.880000000000003</v>
      </c>
      <c r="F42" s="149">
        <v>2974</v>
      </c>
      <c r="G42" s="144">
        <f t="shared" ref="G42:G45" si="31">E42*F42</f>
        <v>112655.12000000001</v>
      </c>
      <c r="H42" s="48" t="s">
        <v>126</v>
      </c>
      <c r="I42" s="151">
        <v>13</v>
      </c>
      <c r="J42" s="43">
        <v>2000</v>
      </c>
      <c r="K42" s="18">
        <f t="shared" si="1"/>
        <v>153.84615384615384</v>
      </c>
      <c r="L42" s="147">
        <v>13</v>
      </c>
      <c r="M42" s="19">
        <f t="shared" ref="M42:M45" si="32">F42/V42*60</f>
        <v>1918.7096774193544</v>
      </c>
      <c r="N42" s="19">
        <f t="shared" si="3"/>
        <v>147.59305210918112</v>
      </c>
      <c r="O42" s="20">
        <f t="shared" si="4"/>
        <v>0</v>
      </c>
      <c r="P42" s="21">
        <f t="shared" si="5"/>
        <v>-6.2531017369727238</v>
      </c>
      <c r="Q42" s="145">
        <f t="shared" si="6"/>
        <v>0.9593548387096773</v>
      </c>
      <c r="R42" s="584">
        <f>Q46</f>
        <v>0.95483204371422903</v>
      </c>
      <c r="S42" s="49">
        <v>8.3333333333333329E-2</v>
      </c>
      <c r="T42" s="49">
        <v>0.14791666666666667</v>
      </c>
      <c r="U42" s="30"/>
      <c r="V42" s="148">
        <f t="shared" ref="V42:V45" si="33">(T42-S42)*24*60</f>
        <v>93.000000000000014</v>
      </c>
      <c r="W42" s="25">
        <f>T42</f>
        <v>0.14791666666666667</v>
      </c>
      <c r="X42" s="25">
        <f>S43</f>
        <v>0.16805555555555557</v>
      </c>
      <c r="Y42" s="28"/>
      <c r="Z42" s="28"/>
      <c r="AA42" s="568"/>
      <c r="AB42" s="569"/>
      <c r="AC42" s="50">
        <v>4</v>
      </c>
      <c r="AD42" s="27"/>
      <c r="AE42" s="20">
        <f t="shared" si="8"/>
        <v>-81.290322580645579</v>
      </c>
      <c r="AF42" s="145">
        <f t="shared" si="9"/>
        <v>0.95935483870967719</v>
      </c>
      <c r="AG42" s="584">
        <f>AF46</f>
        <v>0.95483204371422903</v>
      </c>
    </row>
    <row r="43" spans="1:33" ht="15.75" customHeight="1">
      <c r="A43" s="590" t="s">
        <v>61</v>
      </c>
      <c r="B43" s="39" t="s">
        <v>104</v>
      </c>
      <c r="C43" s="566" t="s">
        <v>106</v>
      </c>
      <c r="D43" s="567"/>
      <c r="E43" s="39">
        <v>35.119999999999997</v>
      </c>
      <c r="F43" s="149">
        <v>5363</v>
      </c>
      <c r="G43" s="144">
        <f t="shared" si="31"/>
        <v>188348.56</v>
      </c>
      <c r="H43" s="48" t="s">
        <v>126</v>
      </c>
      <c r="I43" s="151">
        <v>10</v>
      </c>
      <c r="J43" s="43">
        <v>3000</v>
      </c>
      <c r="K43" s="18">
        <f t="shared" si="1"/>
        <v>300</v>
      </c>
      <c r="L43" s="147">
        <v>10</v>
      </c>
      <c r="M43" s="19">
        <f t="shared" si="32"/>
        <v>2873.0357142857142</v>
      </c>
      <c r="N43" s="19">
        <f t="shared" si="3"/>
        <v>287.30357142857144</v>
      </c>
      <c r="O43" s="20">
        <f t="shared" si="4"/>
        <v>0</v>
      </c>
      <c r="P43" s="21">
        <f t="shared" si="5"/>
        <v>-12.696428571428555</v>
      </c>
      <c r="Q43" s="145">
        <f t="shared" si="6"/>
        <v>0.95767857142857149</v>
      </c>
      <c r="R43" s="585"/>
      <c r="S43" s="49">
        <v>0.16805555555555557</v>
      </c>
      <c r="T43" s="49">
        <v>0.24583333333333335</v>
      </c>
      <c r="U43" s="144">
        <f t="shared" ref="U43:U45" si="34">(S43-T42)*24*60</f>
        <v>29.000000000000018</v>
      </c>
      <c r="V43" s="148">
        <f t="shared" si="33"/>
        <v>112</v>
      </c>
      <c r="W43" s="25"/>
      <c r="X43" s="25"/>
      <c r="Y43" s="28"/>
      <c r="Z43" s="28"/>
      <c r="AA43" s="568"/>
      <c r="AB43" s="569"/>
      <c r="AC43" s="50"/>
      <c r="AD43" s="27"/>
      <c r="AE43" s="20">
        <f t="shared" si="8"/>
        <v>-126.96428571428578</v>
      </c>
      <c r="AF43" s="145">
        <f t="shared" si="9"/>
        <v>0.95767857142857138</v>
      </c>
      <c r="AG43" s="585"/>
    </row>
    <row r="44" spans="1:33" ht="15.75" customHeight="1">
      <c r="A44" s="590" t="s">
        <v>61</v>
      </c>
      <c r="B44" s="39" t="s">
        <v>104</v>
      </c>
      <c r="C44" s="566" t="s">
        <v>107</v>
      </c>
      <c r="D44" s="567"/>
      <c r="E44" s="39">
        <v>21.13</v>
      </c>
      <c r="F44" s="149">
        <v>5420</v>
      </c>
      <c r="G44" s="144">
        <f t="shared" si="31"/>
        <v>114524.59999999999</v>
      </c>
      <c r="H44" s="48" t="s">
        <v>126</v>
      </c>
      <c r="I44" s="151">
        <v>10</v>
      </c>
      <c r="J44" s="43">
        <v>3000</v>
      </c>
      <c r="K44" s="18">
        <f t="shared" si="1"/>
        <v>300</v>
      </c>
      <c r="L44" s="147">
        <v>10</v>
      </c>
      <c r="M44" s="19">
        <f t="shared" si="32"/>
        <v>2852.6315789473683</v>
      </c>
      <c r="N44" s="19">
        <f t="shared" si="3"/>
        <v>285.26315789473682</v>
      </c>
      <c r="O44" s="20">
        <f t="shared" si="4"/>
        <v>0</v>
      </c>
      <c r="P44" s="21">
        <f t="shared" si="5"/>
        <v>-14.736842105263179</v>
      </c>
      <c r="Q44" s="145">
        <f t="shared" si="6"/>
        <v>0.9508771929824561</v>
      </c>
      <c r="R44" s="585"/>
      <c r="S44" s="49">
        <v>0.24930555555555556</v>
      </c>
      <c r="T44" s="49">
        <v>0.32847222222222222</v>
      </c>
      <c r="U44" s="144">
        <f t="shared" si="34"/>
        <v>4.9999999999999822</v>
      </c>
      <c r="V44" s="148">
        <f t="shared" si="33"/>
        <v>114</v>
      </c>
      <c r="W44" s="25"/>
      <c r="X44" s="25"/>
      <c r="Y44" s="28"/>
      <c r="Z44" s="28"/>
      <c r="AA44" s="568"/>
      <c r="AB44" s="569"/>
      <c r="AC44" s="50"/>
      <c r="AD44" s="27"/>
      <c r="AE44" s="20">
        <f t="shared" si="8"/>
        <v>-147.36842105263167</v>
      </c>
      <c r="AF44" s="145">
        <f t="shared" si="9"/>
        <v>0.9508771929824561</v>
      </c>
      <c r="AG44" s="585"/>
    </row>
    <row r="45" spans="1:33" ht="15.75" customHeight="1">
      <c r="A45" s="590" t="s">
        <v>61</v>
      </c>
      <c r="B45" s="39" t="s">
        <v>104</v>
      </c>
      <c r="C45" s="566" t="s">
        <v>108</v>
      </c>
      <c r="D45" s="567"/>
      <c r="E45" s="39">
        <v>27.17</v>
      </c>
      <c r="F45" s="149">
        <v>7004</v>
      </c>
      <c r="G45" s="144">
        <f t="shared" si="31"/>
        <v>190298.68000000002</v>
      </c>
      <c r="H45" s="48" t="s">
        <v>126</v>
      </c>
      <c r="I45" s="151">
        <v>10</v>
      </c>
      <c r="J45" s="43">
        <v>3000</v>
      </c>
      <c r="K45" s="18">
        <f t="shared" si="1"/>
        <v>300</v>
      </c>
      <c r="L45" s="147">
        <v>10</v>
      </c>
      <c r="M45" s="19">
        <f t="shared" si="32"/>
        <v>2858.775510204081</v>
      </c>
      <c r="N45" s="19">
        <f t="shared" si="3"/>
        <v>285.87755102040808</v>
      </c>
      <c r="O45" s="20">
        <f t="shared" si="4"/>
        <v>0</v>
      </c>
      <c r="P45" s="21">
        <f t="shared" si="5"/>
        <v>-14.122448979591923</v>
      </c>
      <c r="Q45" s="145">
        <f t="shared" si="6"/>
        <v>0.95292517006802691</v>
      </c>
      <c r="R45" s="585"/>
      <c r="S45" s="49">
        <v>0.33402777777777776</v>
      </c>
      <c r="T45" s="49">
        <v>0.43611111111111112</v>
      </c>
      <c r="U45" s="144">
        <f t="shared" si="34"/>
        <v>7.9999999999999716</v>
      </c>
      <c r="V45" s="148">
        <f t="shared" si="33"/>
        <v>147.00000000000003</v>
      </c>
      <c r="W45" s="25"/>
      <c r="X45" s="25"/>
      <c r="Y45" s="28"/>
      <c r="Z45" s="28"/>
      <c r="AA45" s="568"/>
      <c r="AB45" s="569"/>
      <c r="AC45" s="50"/>
      <c r="AD45" s="27"/>
      <c r="AE45" s="20">
        <f t="shared" si="8"/>
        <v>-141.224489795919</v>
      </c>
      <c r="AF45" s="145">
        <f t="shared" si="9"/>
        <v>0.95292517006802702</v>
      </c>
      <c r="AG45" s="585"/>
    </row>
    <row r="46" spans="1:33" ht="15.75" customHeight="1">
      <c r="A46" s="591" t="s">
        <v>61</v>
      </c>
      <c r="B46" s="39" t="s">
        <v>46</v>
      </c>
      <c r="C46" s="570"/>
      <c r="D46" s="571"/>
      <c r="E46" s="142"/>
      <c r="F46" s="149"/>
      <c r="G46" s="144"/>
      <c r="H46" s="149"/>
      <c r="I46" s="32">
        <v>10.75</v>
      </c>
      <c r="J46" s="43">
        <v>2750</v>
      </c>
      <c r="K46" s="18">
        <f t="shared" si="1"/>
        <v>255.81395348837211</v>
      </c>
      <c r="L46" s="32">
        <v>10.75</v>
      </c>
      <c r="M46" s="19">
        <f>AVERAGE(M42:M45)</f>
        <v>2625.7881202141298</v>
      </c>
      <c r="N46" s="18">
        <f t="shared" si="3"/>
        <v>244.25936001991906</v>
      </c>
      <c r="O46" s="20">
        <f t="shared" si="4"/>
        <v>0</v>
      </c>
      <c r="P46" s="21">
        <f t="shared" si="5"/>
        <v>-11.554593468453049</v>
      </c>
      <c r="Q46" s="145">
        <f t="shared" si="6"/>
        <v>0.95483204371422903</v>
      </c>
      <c r="R46" s="586"/>
      <c r="S46" s="49"/>
      <c r="T46" s="49"/>
      <c r="U46" s="144"/>
      <c r="V46" s="148"/>
      <c r="W46" s="25"/>
      <c r="X46" s="25"/>
      <c r="Y46" s="33">
        <f>SUM(Y42:Y45)</f>
        <v>0</v>
      </c>
      <c r="Z46" s="33">
        <f>SUM(Z42:Z45)</f>
        <v>0</v>
      </c>
      <c r="AA46" s="587"/>
      <c r="AB46" s="588"/>
      <c r="AC46" s="33">
        <v>4</v>
      </c>
      <c r="AD46" s="33">
        <f>SUM(AD42:AD45)</f>
        <v>0</v>
      </c>
      <c r="AE46" s="20">
        <f t="shared" si="8"/>
        <v>-124.21187978587022</v>
      </c>
      <c r="AF46" s="145">
        <f t="shared" si="9"/>
        <v>0.95483204371422903</v>
      </c>
      <c r="AG46" s="586"/>
    </row>
    <row r="47" spans="1:33" ht="15.75" customHeight="1">
      <c r="A47" s="582" t="s">
        <v>623</v>
      </c>
      <c r="B47" s="39" t="s">
        <v>79</v>
      </c>
      <c r="C47" s="574" t="s">
        <v>109</v>
      </c>
      <c r="D47" s="574"/>
      <c r="E47" s="39">
        <v>46</v>
      </c>
      <c r="F47" s="45">
        <v>2102</v>
      </c>
      <c r="G47" s="144">
        <f t="shared" ref="G47:G53" si="35">E47*F47</f>
        <v>96692</v>
      </c>
      <c r="H47" s="48" t="s">
        <v>126</v>
      </c>
      <c r="I47" s="151">
        <v>17</v>
      </c>
      <c r="J47" s="43">
        <v>2000</v>
      </c>
      <c r="K47" s="18">
        <f t="shared" si="1"/>
        <v>117.64705882352941</v>
      </c>
      <c r="L47" s="147">
        <v>17</v>
      </c>
      <c r="M47" s="19">
        <f t="shared" ref="M47" si="36">F47/V47*60</f>
        <v>1910.9090909090917</v>
      </c>
      <c r="N47" s="19">
        <f t="shared" si="3"/>
        <v>112.40641711229951</v>
      </c>
      <c r="O47" s="20">
        <f t="shared" si="4"/>
        <v>0</v>
      </c>
      <c r="P47" s="21">
        <f t="shared" si="5"/>
        <v>-5.2406417112298982</v>
      </c>
      <c r="Q47" s="145">
        <f t="shared" si="6"/>
        <v>0.95545454545454589</v>
      </c>
      <c r="R47" s="573">
        <f>Q54</f>
        <v>0.96041339697008099</v>
      </c>
      <c r="S47" s="49">
        <v>0.20833333333333334</v>
      </c>
      <c r="T47" s="49">
        <v>0.25416666666666665</v>
      </c>
      <c r="U47" s="30"/>
      <c r="V47" s="148">
        <f t="shared" ref="V47:V53" si="37">(T47-S47)*24*60</f>
        <v>65.999999999999972</v>
      </c>
      <c r="W47" s="30"/>
      <c r="X47" s="30"/>
      <c r="Y47" s="30"/>
      <c r="Z47" s="30"/>
      <c r="AA47" s="575"/>
      <c r="AB47" s="575"/>
      <c r="AC47" s="50">
        <v>7</v>
      </c>
      <c r="AD47" s="27"/>
      <c r="AE47" s="20">
        <f t="shared" si="8"/>
        <v>-89.090909090908326</v>
      </c>
      <c r="AF47" s="145">
        <f t="shared" si="9"/>
        <v>0.95545454545454589</v>
      </c>
      <c r="AG47" s="573">
        <f>AF54</f>
        <v>0.96041339697008099</v>
      </c>
    </row>
    <row r="48" spans="1:33" ht="15.75" customHeight="1">
      <c r="A48" s="582" t="s">
        <v>623</v>
      </c>
      <c r="B48" s="39" t="s">
        <v>74</v>
      </c>
      <c r="C48" s="574" t="s">
        <v>110</v>
      </c>
      <c r="D48" s="574"/>
      <c r="E48" s="39">
        <v>56.43</v>
      </c>
      <c r="F48" s="45">
        <v>1448</v>
      </c>
      <c r="G48" s="144">
        <f t="shared" si="35"/>
        <v>81710.64</v>
      </c>
      <c r="H48" s="48" t="s">
        <v>126</v>
      </c>
      <c r="I48" s="151">
        <v>22</v>
      </c>
      <c r="J48" s="43">
        <v>2000</v>
      </c>
      <c r="K48" s="18">
        <f t="shared" si="1"/>
        <v>90.909090909090907</v>
      </c>
      <c r="L48" s="147">
        <v>22</v>
      </c>
      <c r="M48" s="19">
        <f>F48/V48*60</f>
        <v>1930.6666666666665</v>
      </c>
      <c r="N48" s="19">
        <f t="shared" si="3"/>
        <v>87.757575757575751</v>
      </c>
      <c r="O48" s="20">
        <f t="shared" si="4"/>
        <v>0</v>
      </c>
      <c r="P48" s="21">
        <f t="shared" si="5"/>
        <v>-3.1515151515151558</v>
      </c>
      <c r="Q48" s="145">
        <f t="shared" si="6"/>
        <v>0.96533333333333327</v>
      </c>
      <c r="R48" s="573"/>
      <c r="S48" s="49">
        <v>0.25763888888888886</v>
      </c>
      <c r="T48" s="49">
        <v>0.28888888888888886</v>
      </c>
      <c r="U48" s="144">
        <f t="shared" ref="U48:U53" si="38">IF(S48=TIME(17,0,0),"",(S48-T47)*24*60)</f>
        <v>4.9999999999999822</v>
      </c>
      <c r="V48" s="148">
        <f t="shared" si="37"/>
        <v>45</v>
      </c>
      <c r="W48" s="25"/>
      <c r="X48" s="25"/>
      <c r="Y48" s="25"/>
      <c r="Z48" s="25"/>
      <c r="AA48" s="575"/>
      <c r="AB48" s="575"/>
      <c r="AC48" s="50"/>
      <c r="AD48" s="27"/>
      <c r="AE48" s="20">
        <f t="shared" si="8"/>
        <v>-69.333333333333485</v>
      </c>
      <c r="AF48" s="145">
        <f t="shared" si="9"/>
        <v>0.96533333333333327</v>
      </c>
      <c r="AG48" s="573"/>
    </row>
    <row r="49" spans="1:33" ht="15.75" customHeight="1">
      <c r="A49" s="582" t="s">
        <v>63</v>
      </c>
      <c r="B49" s="39" t="s">
        <v>74</v>
      </c>
      <c r="C49" s="566" t="s">
        <v>111</v>
      </c>
      <c r="D49" s="567"/>
      <c r="E49" s="39">
        <v>51.75</v>
      </c>
      <c r="F49" s="45">
        <v>894</v>
      </c>
      <c r="G49" s="144">
        <f t="shared" si="35"/>
        <v>46264.5</v>
      </c>
      <c r="H49" s="48" t="s">
        <v>126</v>
      </c>
      <c r="I49" s="151">
        <v>25</v>
      </c>
      <c r="J49" s="43">
        <v>2000</v>
      </c>
      <c r="K49" s="18">
        <f t="shared" si="1"/>
        <v>80</v>
      </c>
      <c r="L49" s="147">
        <v>25</v>
      </c>
      <c r="M49" s="19">
        <f t="shared" ref="M49:M53" si="39">F49/V49*60</f>
        <v>1915.7142857142871</v>
      </c>
      <c r="N49" s="19">
        <f t="shared" si="3"/>
        <v>76.62857142857149</v>
      </c>
      <c r="O49" s="20">
        <f t="shared" si="4"/>
        <v>0</v>
      </c>
      <c r="P49" s="21">
        <f t="shared" si="5"/>
        <v>-3.3714285714285097</v>
      </c>
      <c r="Q49" s="145">
        <f t="shared" si="6"/>
        <v>0.95785714285714363</v>
      </c>
      <c r="R49" s="573"/>
      <c r="S49" s="49">
        <v>0.29236111111111107</v>
      </c>
      <c r="T49" s="49">
        <v>0.3118055555555555</v>
      </c>
      <c r="U49" s="144">
        <f t="shared" si="38"/>
        <v>4.9999999999999822</v>
      </c>
      <c r="V49" s="148">
        <f t="shared" si="37"/>
        <v>27.999999999999979</v>
      </c>
      <c r="W49" s="25"/>
      <c r="X49" s="25"/>
      <c r="Y49" s="28"/>
      <c r="Z49" s="28"/>
      <c r="AA49" s="575"/>
      <c r="AB49" s="575"/>
      <c r="AC49" s="50"/>
      <c r="AD49" s="27"/>
      <c r="AE49" s="20">
        <f t="shared" si="8"/>
        <v>-84.285714285712857</v>
      </c>
      <c r="AF49" s="145">
        <f t="shared" si="9"/>
        <v>0.95785714285714352</v>
      </c>
      <c r="AG49" s="573"/>
    </row>
    <row r="50" spans="1:33" ht="15.75" customHeight="1">
      <c r="A50" s="582" t="s">
        <v>624</v>
      </c>
      <c r="B50" s="39" t="s">
        <v>74</v>
      </c>
      <c r="C50" s="139" t="s">
        <v>88</v>
      </c>
      <c r="D50" s="140"/>
      <c r="E50" s="39">
        <v>59.04</v>
      </c>
      <c r="F50" s="45">
        <v>4560</v>
      </c>
      <c r="G50" s="144">
        <f t="shared" si="35"/>
        <v>269222.40000000002</v>
      </c>
      <c r="H50" s="48" t="s">
        <v>126</v>
      </c>
      <c r="I50" s="151">
        <v>19</v>
      </c>
      <c r="J50" s="43">
        <v>2000</v>
      </c>
      <c r="K50" s="18">
        <f t="shared" si="1"/>
        <v>105.26315789473684</v>
      </c>
      <c r="L50" s="147">
        <v>19</v>
      </c>
      <c r="M50" s="19">
        <f t="shared" si="39"/>
        <v>1913.2867132867136</v>
      </c>
      <c r="N50" s="19">
        <f t="shared" si="3"/>
        <v>100.69930069930072</v>
      </c>
      <c r="O50" s="20">
        <f t="shared" si="4"/>
        <v>0</v>
      </c>
      <c r="P50" s="21">
        <f t="shared" si="5"/>
        <v>-4.563857195436114</v>
      </c>
      <c r="Q50" s="145">
        <f t="shared" si="6"/>
        <v>0.95664335664335687</v>
      </c>
      <c r="R50" s="573"/>
      <c r="S50" s="49">
        <v>0.31527777777777771</v>
      </c>
      <c r="T50" s="49">
        <v>0.41458333333333325</v>
      </c>
      <c r="U50" s="144">
        <f t="shared" si="38"/>
        <v>4.9999999999999822</v>
      </c>
      <c r="V50" s="148">
        <f t="shared" si="37"/>
        <v>142.99999999999997</v>
      </c>
      <c r="W50" s="25"/>
      <c r="X50" s="25"/>
      <c r="Y50" s="28"/>
      <c r="Z50" s="28"/>
      <c r="AA50" s="575"/>
      <c r="AB50" s="575"/>
      <c r="AC50" s="50"/>
      <c r="AD50" s="27"/>
      <c r="AE50" s="20">
        <f t="shared" si="8"/>
        <v>-86.713286713286379</v>
      </c>
      <c r="AF50" s="145">
        <f t="shared" si="9"/>
        <v>0.95664335664335676</v>
      </c>
      <c r="AG50" s="573"/>
    </row>
    <row r="51" spans="1:33" ht="15.75" customHeight="1">
      <c r="A51" s="582" t="s">
        <v>623</v>
      </c>
      <c r="B51" s="39" t="s">
        <v>74</v>
      </c>
      <c r="C51" s="139" t="s">
        <v>112</v>
      </c>
      <c r="D51" s="140"/>
      <c r="E51" s="39">
        <v>55.32</v>
      </c>
      <c r="F51" s="45">
        <v>1365</v>
      </c>
      <c r="G51" s="144">
        <f t="shared" si="35"/>
        <v>75511.8</v>
      </c>
      <c r="H51" s="48" t="s">
        <v>126</v>
      </c>
      <c r="I51" s="151">
        <v>15</v>
      </c>
      <c r="J51" s="43">
        <v>2000</v>
      </c>
      <c r="K51" s="18">
        <f t="shared" si="1"/>
        <v>133.33333333333334</v>
      </c>
      <c r="L51" s="147">
        <v>15</v>
      </c>
      <c r="M51" s="19">
        <f t="shared" si="39"/>
        <v>1904.6511627906973</v>
      </c>
      <c r="N51" s="19">
        <f t="shared" si="3"/>
        <v>126.97674418604649</v>
      </c>
      <c r="O51" s="20">
        <f t="shared" si="4"/>
        <v>0</v>
      </c>
      <c r="P51" s="21">
        <f t="shared" si="5"/>
        <v>-6.3565891472868543</v>
      </c>
      <c r="Q51" s="145">
        <f t="shared" si="6"/>
        <v>0.95232558139534862</v>
      </c>
      <c r="R51" s="573"/>
      <c r="S51" s="49">
        <v>0.70833333333333337</v>
      </c>
      <c r="T51" s="49">
        <v>0.73819444444444449</v>
      </c>
      <c r="U51" s="144" t="str">
        <f t="shared" si="38"/>
        <v/>
      </c>
      <c r="V51" s="148">
        <f t="shared" si="37"/>
        <v>43.000000000000007</v>
      </c>
      <c r="W51" s="25"/>
      <c r="X51" s="25"/>
      <c r="Y51" s="28"/>
      <c r="Z51" s="28"/>
      <c r="AA51" s="575"/>
      <c r="AB51" s="575"/>
      <c r="AC51" s="50"/>
      <c r="AD51" s="27"/>
      <c r="AE51" s="20">
        <f t="shared" si="8"/>
        <v>-95.348837209302701</v>
      </c>
      <c r="AF51" s="145">
        <f t="shared" si="9"/>
        <v>0.95232558139534862</v>
      </c>
      <c r="AG51" s="573"/>
    </row>
    <row r="52" spans="1:33" ht="15.75" customHeight="1">
      <c r="A52" s="582" t="s">
        <v>623</v>
      </c>
      <c r="B52" s="39" t="s">
        <v>74</v>
      </c>
      <c r="C52" s="566" t="s">
        <v>113</v>
      </c>
      <c r="D52" s="567"/>
      <c r="E52" s="39">
        <v>55.56</v>
      </c>
      <c r="F52" s="45">
        <v>1941</v>
      </c>
      <c r="G52" s="144">
        <f t="shared" si="35"/>
        <v>107841.96</v>
      </c>
      <c r="H52" s="48" t="s">
        <v>126</v>
      </c>
      <c r="I52" s="151">
        <v>17</v>
      </c>
      <c r="J52" s="43">
        <v>2000</v>
      </c>
      <c r="K52" s="18">
        <f t="shared" si="1"/>
        <v>117.64705882352941</v>
      </c>
      <c r="L52" s="147">
        <v>17</v>
      </c>
      <c r="M52" s="19">
        <f t="shared" si="39"/>
        <v>1909.1803278688542</v>
      </c>
      <c r="N52" s="19">
        <f t="shared" si="3"/>
        <v>112.30472516875614</v>
      </c>
      <c r="O52" s="20">
        <f t="shared" si="4"/>
        <v>0</v>
      </c>
      <c r="P52" s="21">
        <f t="shared" si="5"/>
        <v>-5.3423336547732703</v>
      </c>
      <c r="Q52" s="145">
        <f t="shared" si="6"/>
        <v>0.95459016393442719</v>
      </c>
      <c r="R52" s="573"/>
      <c r="S52" s="49">
        <v>0.7416666666666667</v>
      </c>
      <c r="T52" s="49">
        <v>0.78402777777777777</v>
      </c>
      <c r="U52" s="144">
        <f t="shared" si="38"/>
        <v>4.9999999999999822</v>
      </c>
      <c r="V52" s="148">
        <f t="shared" si="37"/>
        <v>60.999999999999943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-90.819672131145808</v>
      </c>
      <c r="AF52" s="145">
        <f t="shared" si="9"/>
        <v>0.95459016393442708</v>
      </c>
      <c r="AG52" s="573"/>
    </row>
    <row r="53" spans="1:33" ht="15.75" customHeight="1">
      <c r="A53" s="582" t="s">
        <v>623</v>
      </c>
      <c r="B53" s="39" t="s">
        <v>74</v>
      </c>
      <c r="C53" s="566" t="s">
        <v>114</v>
      </c>
      <c r="D53" s="567"/>
      <c r="E53" s="39">
        <v>54.29</v>
      </c>
      <c r="F53" s="45">
        <v>948</v>
      </c>
      <c r="G53" s="144">
        <f t="shared" si="35"/>
        <v>51466.92</v>
      </c>
      <c r="H53" s="48" t="s">
        <v>126</v>
      </c>
      <c r="I53" s="151">
        <v>20</v>
      </c>
      <c r="J53" s="43">
        <v>2000</v>
      </c>
      <c r="K53" s="18">
        <f t="shared" si="1"/>
        <v>100</v>
      </c>
      <c r="L53" s="147">
        <v>20</v>
      </c>
      <c r="M53" s="19">
        <f t="shared" si="39"/>
        <v>1961.3793103448238</v>
      </c>
      <c r="N53" s="19">
        <f t="shared" si="3"/>
        <v>98.068965517241196</v>
      </c>
      <c r="O53" s="20">
        <f t="shared" si="4"/>
        <v>0</v>
      </c>
      <c r="P53" s="21">
        <f t="shared" si="5"/>
        <v>-1.931034482758804</v>
      </c>
      <c r="Q53" s="145">
        <f t="shared" si="6"/>
        <v>0.98068965517241191</v>
      </c>
      <c r="R53" s="573"/>
      <c r="S53" s="49">
        <v>0.78888888888888886</v>
      </c>
      <c r="T53" s="49">
        <v>0.80902777777777779</v>
      </c>
      <c r="U53" s="144">
        <f t="shared" si="38"/>
        <v>6.9999999999999751</v>
      </c>
      <c r="V53" s="148">
        <f t="shared" si="37"/>
        <v>29.000000000000057</v>
      </c>
      <c r="W53" s="25"/>
      <c r="X53" s="25"/>
      <c r="Y53" s="28"/>
      <c r="Z53" s="28"/>
      <c r="AA53" s="568"/>
      <c r="AB53" s="569"/>
      <c r="AC53" s="50"/>
      <c r="AD53" s="27"/>
      <c r="AE53" s="20">
        <f t="shared" si="8"/>
        <v>-38.620689655176193</v>
      </c>
      <c r="AF53" s="145">
        <f t="shared" si="9"/>
        <v>0.98068965517241191</v>
      </c>
      <c r="AG53" s="573"/>
    </row>
    <row r="54" spans="1:33">
      <c r="A54" s="583" t="s">
        <v>63</v>
      </c>
      <c r="B54" s="39" t="s">
        <v>625</v>
      </c>
      <c r="C54" s="576"/>
      <c r="D54" s="576"/>
      <c r="E54" s="146"/>
      <c r="F54" s="42"/>
      <c r="G54" s="18"/>
      <c r="H54" s="149"/>
      <c r="I54" s="32">
        <v>19.285714285714285</v>
      </c>
      <c r="J54" s="43">
        <v>2000</v>
      </c>
      <c r="K54" s="18">
        <f t="shared" si="1"/>
        <v>103.70370370370371</v>
      </c>
      <c r="L54" s="32">
        <v>19.285714285714285</v>
      </c>
      <c r="M54" s="19">
        <f>AVERAGE(M47:M53)</f>
        <v>1920.8267939401619</v>
      </c>
      <c r="N54" s="18">
        <f t="shared" si="3"/>
        <v>99.598426352452847</v>
      </c>
      <c r="O54" s="20">
        <f t="shared" si="4"/>
        <v>0</v>
      </c>
      <c r="P54" s="21">
        <f t="shared" si="5"/>
        <v>-4.1052773512508622</v>
      </c>
      <c r="Q54" s="145">
        <f t="shared" si="6"/>
        <v>0.96041339697008099</v>
      </c>
      <c r="R54" s="573"/>
      <c r="S54" s="49"/>
      <c r="T54" s="49"/>
      <c r="U54" s="144"/>
      <c r="V54" s="148"/>
      <c r="W54" s="18"/>
      <c r="X54" s="18"/>
      <c r="Y54" s="33">
        <f>SUM(Y47:Y53)</f>
        <v>0</v>
      </c>
      <c r="Z54" s="33">
        <f>SUM(Z47:Z53)</f>
        <v>0</v>
      </c>
      <c r="AA54" s="572"/>
      <c r="AB54" s="572"/>
      <c r="AC54" s="33">
        <v>7</v>
      </c>
      <c r="AD54" s="33">
        <f>SUM(AD47:AD53)</f>
        <v>0</v>
      </c>
      <c r="AE54" s="20">
        <f>M54-J54</f>
        <v>-79.173206059838094</v>
      </c>
      <c r="AF54" s="145">
        <f t="shared" si="9"/>
        <v>0.96041339697008099</v>
      </c>
      <c r="AG54" s="573"/>
    </row>
    <row r="55" spans="1:33" ht="15.75" customHeight="1">
      <c r="A55" s="580" t="s">
        <v>67</v>
      </c>
      <c r="B55" s="149" t="s">
        <v>104</v>
      </c>
      <c r="C55" s="574" t="s">
        <v>115</v>
      </c>
      <c r="D55" s="574"/>
      <c r="E55" s="39">
        <v>34.36</v>
      </c>
      <c r="F55" s="45">
        <v>2230</v>
      </c>
      <c r="G55" s="144">
        <f t="shared" ref="G55:G60" si="40">E55*F55</f>
        <v>76622.8</v>
      </c>
      <c r="H55" s="48" t="s">
        <v>126</v>
      </c>
      <c r="I55" s="151">
        <v>10</v>
      </c>
      <c r="J55" s="43">
        <v>3000</v>
      </c>
      <c r="K55" s="18">
        <f t="shared" si="1"/>
        <v>300</v>
      </c>
      <c r="L55" s="147">
        <v>10</v>
      </c>
      <c r="M55" s="19">
        <f t="shared" ref="M55:M60" si="41">F55/V55*60</f>
        <v>2908.695652173913</v>
      </c>
      <c r="N55" s="18">
        <f t="shared" si="3"/>
        <v>290.86956521739131</v>
      </c>
      <c r="O55" s="20">
        <f t="shared" si="4"/>
        <v>0</v>
      </c>
      <c r="P55" s="21">
        <f t="shared" si="5"/>
        <v>-9.1304347826086882</v>
      </c>
      <c r="Q55" s="145">
        <f t="shared" si="6"/>
        <v>0.96956521739130441</v>
      </c>
      <c r="R55" s="573">
        <f>Q61</f>
        <v>0.95864041344571838</v>
      </c>
      <c r="S55" s="49">
        <v>0.20833333333333334</v>
      </c>
      <c r="T55" s="49">
        <v>0.24027777777777778</v>
      </c>
      <c r="U55" s="144"/>
      <c r="V55" s="148">
        <f t="shared" ref="V55:V60" si="42">(T55-S55)*24*60</f>
        <v>46</v>
      </c>
      <c r="W55" s="30"/>
      <c r="X55" s="30"/>
      <c r="Y55" s="30"/>
      <c r="Z55" s="30"/>
      <c r="AA55" s="575"/>
      <c r="AB55" s="575"/>
      <c r="AC55" s="50">
        <v>6</v>
      </c>
      <c r="AD55" s="27"/>
      <c r="AE55" s="20">
        <f t="shared" ref="AE55:AE70" si="43">M55-J55</f>
        <v>-91.304347826086996</v>
      </c>
      <c r="AF55" s="145">
        <f t="shared" si="9"/>
        <v>0.9695652173913043</v>
      </c>
      <c r="AG55" s="573">
        <f>AF61</f>
        <v>0.95864041344571838</v>
      </c>
    </row>
    <row r="56" spans="1:33" ht="15.75" customHeight="1">
      <c r="A56" s="580" t="s">
        <v>67</v>
      </c>
      <c r="B56" s="149" t="s">
        <v>104</v>
      </c>
      <c r="C56" s="574" t="s">
        <v>116</v>
      </c>
      <c r="D56" s="574"/>
      <c r="E56" s="39">
        <v>34.36</v>
      </c>
      <c r="F56" s="45">
        <v>1335</v>
      </c>
      <c r="G56" s="144">
        <f t="shared" si="40"/>
        <v>45870.6</v>
      </c>
      <c r="H56" s="48" t="s">
        <v>126</v>
      </c>
      <c r="I56" s="151">
        <v>10</v>
      </c>
      <c r="J56" s="43">
        <v>3000</v>
      </c>
      <c r="K56" s="18">
        <f t="shared" si="1"/>
        <v>300</v>
      </c>
      <c r="L56" s="147">
        <v>10</v>
      </c>
      <c r="M56" s="19">
        <f t="shared" si="41"/>
        <v>2860.7142857142835</v>
      </c>
      <c r="N56" s="18">
        <f t="shared" si="3"/>
        <v>286.07142857142833</v>
      </c>
      <c r="O56" s="20">
        <f t="shared" si="4"/>
        <v>0</v>
      </c>
      <c r="P56" s="21">
        <f t="shared" si="5"/>
        <v>-13.928571428571672</v>
      </c>
      <c r="Q56" s="145">
        <f t="shared" si="6"/>
        <v>0.95357142857142774</v>
      </c>
      <c r="R56" s="573"/>
      <c r="S56" s="49">
        <v>0.24374999999999999</v>
      </c>
      <c r="T56" s="49">
        <v>0.26319444444444445</v>
      </c>
      <c r="U56" s="144">
        <f t="shared" ref="U56:U60" si="44">(S56-T55)*24*60</f>
        <v>4.9999999999999822</v>
      </c>
      <c r="V56" s="148">
        <f t="shared" si="42"/>
        <v>28.000000000000021</v>
      </c>
      <c r="W56" s="144"/>
      <c r="X56" s="144"/>
      <c r="Y56" s="144"/>
      <c r="Z56" s="144"/>
      <c r="AA56" s="575"/>
      <c r="AB56" s="575"/>
      <c r="AC56" s="50"/>
      <c r="AD56" s="27"/>
      <c r="AE56" s="20">
        <f t="shared" si="43"/>
        <v>-139.28571428571649</v>
      </c>
      <c r="AF56" s="145">
        <f t="shared" si="9"/>
        <v>0.95357142857142785</v>
      </c>
      <c r="AG56" s="573"/>
    </row>
    <row r="57" spans="1:33" ht="15.75" customHeight="1">
      <c r="A57" s="580" t="s">
        <v>67</v>
      </c>
      <c r="B57" s="149" t="s">
        <v>104</v>
      </c>
      <c r="C57" s="574" t="s">
        <v>117</v>
      </c>
      <c r="D57" s="574"/>
      <c r="E57" s="39">
        <v>26.78</v>
      </c>
      <c r="F57" s="45">
        <v>2436</v>
      </c>
      <c r="G57" s="144">
        <f t="shared" si="40"/>
        <v>65236.08</v>
      </c>
      <c r="H57" s="48" t="s">
        <v>126</v>
      </c>
      <c r="I57" s="151">
        <v>10</v>
      </c>
      <c r="J57" s="43">
        <v>3000</v>
      </c>
      <c r="K57" s="18">
        <f t="shared" si="1"/>
        <v>300</v>
      </c>
      <c r="L57" s="147">
        <v>10</v>
      </c>
      <c r="M57" s="19">
        <f t="shared" si="41"/>
        <v>2865.8823529411779</v>
      </c>
      <c r="N57" s="18">
        <f t="shared" si="3"/>
        <v>286.58823529411779</v>
      </c>
      <c r="O57" s="20">
        <f t="shared" si="4"/>
        <v>0</v>
      </c>
      <c r="P57" s="21">
        <f t="shared" si="5"/>
        <v>-13.411764705882206</v>
      </c>
      <c r="Q57" s="145">
        <f t="shared" si="6"/>
        <v>0.95529411764705929</v>
      </c>
      <c r="R57" s="573"/>
      <c r="S57" s="49">
        <v>0.26805555555555555</v>
      </c>
      <c r="T57" s="49">
        <v>0.3034722222222222</v>
      </c>
      <c r="U57" s="144">
        <f t="shared" si="44"/>
        <v>6.9999999999999751</v>
      </c>
      <c r="V57" s="148">
        <f t="shared" si="42"/>
        <v>50.999999999999979</v>
      </c>
      <c r="W57" s="144"/>
      <c r="X57" s="144"/>
      <c r="Y57" s="144"/>
      <c r="Z57" s="144"/>
      <c r="AA57" s="575"/>
      <c r="AB57" s="575"/>
      <c r="AC57" s="50"/>
      <c r="AD57" s="27"/>
      <c r="AE57" s="20">
        <f t="shared" si="43"/>
        <v>-134.11764705882206</v>
      </c>
      <c r="AF57" s="145">
        <f t="shared" si="9"/>
        <v>0.95529411764705929</v>
      </c>
      <c r="AG57" s="573"/>
    </row>
    <row r="58" spans="1:33" ht="15.75" customHeight="1">
      <c r="A58" s="580" t="s">
        <v>67</v>
      </c>
      <c r="B58" s="149" t="s">
        <v>104</v>
      </c>
      <c r="C58" s="574" t="s">
        <v>118</v>
      </c>
      <c r="D58" s="574"/>
      <c r="E58" s="39">
        <v>37.880000000000003</v>
      </c>
      <c r="F58" s="45">
        <v>1787</v>
      </c>
      <c r="G58" s="144">
        <f t="shared" si="40"/>
        <v>67691.56</v>
      </c>
      <c r="H58" s="48" t="s">
        <v>126</v>
      </c>
      <c r="I58" s="151">
        <v>10</v>
      </c>
      <c r="J58" s="43">
        <v>3000</v>
      </c>
      <c r="K58" s="18">
        <f t="shared" si="1"/>
        <v>300</v>
      </c>
      <c r="L58" s="147">
        <v>10</v>
      </c>
      <c r="M58" s="19">
        <f t="shared" si="41"/>
        <v>2897.8378378378357</v>
      </c>
      <c r="N58" s="18">
        <f t="shared" si="3"/>
        <v>289.78378378378358</v>
      </c>
      <c r="O58" s="20">
        <f t="shared" si="4"/>
        <v>0</v>
      </c>
      <c r="P58" s="21">
        <f t="shared" si="5"/>
        <v>-10.216216216216424</v>
      </c>
      <c r="Q58" s="145">
        <f t="shared" si="6"/>
        <v>0.96594594594594529</v>
      </c>
      <c r="R58" s="573"/>
      <c r="S58" s="49">
        <v>0.30763888888888885</v>
      </c>
      <c r="T58" s="49">
        <v>0.33333333333333331</v>
      </c>
      <c r="U58" s="144">
        <f t="shared" si="44"/>
        <v>5.9999999999999787</v>
      </c>
      <c r="V58" s="148">
        <f t="shared" si="42"/>
        <v>37.000000000000028</v>
      </c>
      <c r="W58" s="144"/>
      <c r="X58" s="144"/>
      <c r="Y58" s="144"/>
      <c r="Z58" s="144"/>
      <c r="AA58" s="575"/>
      <c r="AB58" s="575"/>
      <c r="AC58" s="50"/>
      <c r="AD58" s="27"/>
      <c r="AE58" s="20">
        <f t="shared" si="43"/>
        <v>-102.16216216216435</v>
      </c>
      <c r="AF58" s="145">
        <f t="shared" si="9"/>
        <v>0.96594594594594518</v>
      </c>
      <c r="AG58" s="573"/>
    </row>
    <row r="59" spans="1:33">
      <c r="A59" s="581" t="s">
        <v>67</v>
      </c>
      <c r="B59" s="149" t="s">
        <v>104</v>
      </c>
      <c r="C59" s="574" t="s">
        <v>119</v>
      </c>
      <c r="D59" s="574"/>
      <c r="E59" s="39">
        <v>35.869999999999997</v>
      </c>
      <c r="F59" s="45">
        <v>3757</v>
      </c>
      <c r="G59" s="144">
        <f t="shared" si="40"/>
        <v>134763.59</v>
      </c>
      <c r="H59" s="48" t="s">
        <v>126</v>
      </c>
      <c r="I59" s="151">
        <v>9</v>
      </c>
      <c r="J59" s="43">
        <v>3000</v>
      </c>
      <c r="K59" s="18">
        <f t="shared" si="1"/>
        <v>333.33333333333331</v>
      </c>
      <c r="L59" s="147">
        <v>9</v>
      </c>
      <c r="M59" s="19">
        <f t="shared" si="41"/>
        <v>2853.4177215189889</v>
      </c>
      <c r="N59" s="18">
        <f t="shared" si="3"/>
        <v>317.04641350210989</v>
      </c>
      <c r="O59" s="20">
        <f t="shared" si="4"/>
        <v>0</v>
      </c>
      <c r="P59" s="21">
        <f t="shared" si="5"/>
        <v>-16.286919831223429</v>
      </c>
      <c r="Q59" s="145">
        <f t="shared" si="6"/>
        <v>0.9511392405063297</v>
      </c>
      <c r="R59" s="573"/>
      <c r="S59" s="49">
        <v>0.33680555555555552</v>
      </c>
      <c r="T59" s="49">
        <v>0.39166666666666661</v>
      </c>
      <c r="U59" s="144">
        <f t="shared" si="44"/>
        <v>4.9999999999999822</v>
      </c>
      <c r="V59" s="148">
        <f t="shared" si="42"/>
        <v>78.999999999999957</v>
      </c>
      <c r="W59" s="25"/>
      <c r="X59" s="25"/>
      <c r="Y59" s="25"/>
      <c r="Z59" s="25"/>
      <c r="AA59" s="575"/>
      <c r="AB59" s="575"/>
      <c r="AC59" s="50"/>
      <c r="AD59" s="27"/>
      <c r="AE59" s="20">
        <f t="shared" si="43"/>
        <v>-146.58227848101114</v>
      </c>
      <c r="AF59" s="145">
        <f t="shared" si="9"/>
        <v>0.95113924050632959</v>
      </c>
      <c r="AG59" s="573"/>
    </row>
    <row r="60" spans="1:33" ht="15" customHeight="1">
      <c r="A60" s="581" t="s">
        <v>67</v>
      </c>
      <c r="B60" s="149" t="s">
        <v>104</v>
      </c>
      <c r="C60" s="566" t="s">
        <v>120</v>
      </c>
      <c r="D60" s="567"/>
      <c r="E60" s="39">
        <v>34.35</v>
      </c>
      <c r="F60" s="45">
        <v>2343</v>
      </c>
      <c r="G60" s="144">
        <f t="shared" si="40"/>
        <v>80482.05</v>
      </c>
      <c r="H60" s="48" t="s">
        <v>126</v>
      </c>
      <c r="I60" s="151">
        <v>8</v>
      </c>
      <c r="J60" s="43">
        <v>3000</v>
      </c>
      <c r="K60" s="18">
        <f t="shared" si="1"/>
        <v>375</v>
      </c>
      <c r="L60" s="147">
        <v>8</v>
      </c>
      <c r="M60" s="19">
        <f t="shared" si="41"/>
        <v>2868.9795918367354</v>
      </c>
      <c r="N60" s="18">
        <f t="shared" si="3"/>
        <v>358.62244897959192</v>
      </c>
      <c r="O60" s="20">
        <f t="shared" si="4"/>
        <v>0</v>
      </c>
      <c r="P60" s="21">
        <f t="shared" si="5"/>
        <v>-16.377551020408077</v>
      </c>
      <c r="Q60" s="145">
        <f t="shared" si="6"/>
        <v>0.95632653061224515</v>
      </c>
      <c r="R60" s="573"/>
      <c r="S60" s="49">
        <v>0.39722222222222214</v>
      </c>
      <c r="T60" s="49">
        <v>0.43124999999999991</v>
      </c>
      <c r="U60" s="144">
        <f t="shared" si="44"/>
        <v>7.9999999999999716</v>
      </c>
      <c r="V60" s="148">
        <f t="shared" si="42"/>
        <v>48.999999999999986</v>
      </c>
      <c r="W60" s="144"/>
      <c r="X60" s="144"/>
      <c r="Y60" s="141"/>
      <c r="Z60" s="141"/>
      <c r="AA60" s="568"/>
      <c r="AB60" s="569"/>
      <c r="AC60" s="50"/>
      <c r="AD60" s="27"/>
      <c r="AE60" s="20">
        <f t="shared" si="43"/>
        <v>-131.02040816326462</v>
      </c>
      <c r="AF60" s="145">
        <f t="shared" si="9"/>
        <v>0.95632653061224515</v>
      </c>
      <c r="AG60" s="573"/>
    </row>
    <row r="61" spans="1:33">
      <c r="A61" s="581" t="s">
        <v>67</v>
      </c>
      <c r="B61" s="39" t="s">
        <v>46</v>
      </c>
      <c r="C61" s="576"/>
      <c r="D61" s="576"/>
      <c r="E61" s="146"/>
      <c r="F61" s="42"/>
      <c r="G61" s="18"/>
      <c r="H61" s="149"/>
      <c r="I61" s="32">
        <v>9.5</v>
      </c>
      <c r="J61" s="43">
        <v>3000</v>
      </c>
      <c r="K61" s="18">
        <f t="shared" si="1"/>
        <v>315.78947368421052</v>
      </c>
      <c r="L61" s="32">
        <v>9.5</v>
      </c>
      <c r="M61" s="19">
        <f>AVERAGE(M55:M60)</f>
        <v>2875.9212403371553</v>
      </c>
      <c r="N61" s="18">
        <f t="shared" si="3"/>
        <v>302.72855161443738</v>
      </c>
      <c r="O61" s="20">
        <f t="shared" si="4"/>
        <v>0</v>
      </c>
      <c r="P61" s="21">
        <f t="shared" si="5"/>
        <v>-13.060922069773142</v>
      </c>
      <c r="Q61" s="145">
        <f t="shared" si="6"/>
        <v>0.95864041344571838</v>
      </c>
      <c r="R61" s="573"/>
      <c r="S61" s="49"/>
      <c r="T61" s="49"/>
      <c r="U61" s="18"/>
      <c r="V61" s="148"/>
      <c r="W61" s="18"/>
      <c r="X61" s="18"/>
      <c r="Y61" s="33">
        <f>SUM(Y55:Y60)</f>
        <v>0</v>
      </c>
      <c r="Z61" s="33">
        <f>SUM(Z55:Z60)</f>
        <v>0</v>
      </c>
      <c r="AA61" s="572"/>
      <c r="AB61" s="572"/>
      <c r="AC61" s="33">
        <v>6</v>
      </c>
      <c r="AD61" s="33">
        <f>SUM(AD55:AD60)</f>
        <v>0</v>
      </c>
      <c r="AE61" s="20">
        <f t="shared" si="43"/>
        <v>-124.07875966284473</v>
      </c>
      <c r="AF61" s="145">
        <f t="shared" si="9"/>
        <v>0.95864041344571838</v>
      </c>
      <c r="AG61" s="573"/>
    </row>
    <row r="62" spans="1:33" ht="15.75" customHeight="1">
      <c r="A62" s="577" t="s">
        <v>71</v>
      </c>
      <c r="B62" s="149" t="s">
        <v>94</v>
      </c>
      <c r="C62" s="574" t="s">
        <v>124</v>
      </c>
      <c r="D62" s="574"/>
      <c r="E62" s="39">
        <v>22.69</v>
      </c>
      <c r="F62" s="149">
        <v>5078</v>
      </c>
      <c r="G62" s="144">
        <f t="shared" ref="G62:G69" si="45">E62*F62</f>
        <v>115219.82</v>
      </c>
      <c r="H62" s="48" t="s">
        <v>126</v>
      </c>
      <c r="I62" s="151">
        <v>15</v>
      </c>
      <c r="J62" s="43">
        <v>2400</v>
      </c>
      <c r="K62" s="18">
        <f t="shared" si="1"/>
        <v>160</v>
      </c>
      <c r="L62" s="147">
        <v>15</v>
      </c>
      <c r="M62" s="19">
        <f t="shared" ref="M62:M69" si="46">F62/V62*60</f>
        <v>2290.8270676691736</v>
      </c>
      <c r="N62" s="18">
        <f t="shared" si="3"/>
        <v>152.72180451127824</v>
      </c>
      <c r="O62" s="20">
        <f t="shared" si="4"/>
        <v>0</v>
      </c>
      <c r="P62" s="21">
        <f t="shared" si="5"/>
        <v>-7.2781954887217637</v>
      </c>
      <c r="Q62" s="145">
        <f t="shared" si="6"/>
        <v>0.95451127819548898</v>
      </c>
      <c r="R62" s="573">
        <f>Q70</f>
        <v>0.95851129992337547</v>
      </c>
      <c r="S62" s="49">
        <v>8.3333333333333329E-2</v>
      </c>
      <c r="T62" s="49">
        <v>0.17569444444444443</v>
      </c>
      <c r="U62" s="30"/>
      <c r="V62" s="148">
        <f t="shared" ref="V62:V69" si="47">(T62-S62)*24*60</f>
        <v>132.99999999999997</v>
      </c>
      <c r="W62" s="25">
        <f>T62</f>
        <v>0.17569444444444443</v>
      </c>
      <c r="X62" s="25">
        <f>S63</f>
        <v>0.19374999999999998</v>
      </c>
      <c r="Y62" s="25"/>
      <c r="Z62" s="25"/>
      <c r="AA62" s="575"/>
      <c r="AB62" s="575"/>
      <c r="AC62" s="50">
        <v>8</v>
      </c>
      <c r="AD62" s="27"/>
      <c r="AE62" s="20">
        <f t="shared" si="43"/>
        <v>-109.17293233082637</v>
      </c>
      <c r="AF62" s="145">
        <f t="shared" si="9"/>
        <v>0.95451127819548898</v>
      </c>
      <c r="AG62" s="573">
        <f>AF70</f>
        <v>0.95851129992337558</v>
      </c>
    </row>
    <row r="63" spans="1:33" ht="15.75" customHeight="1">
      <c r="A63" s="578" t="s">
        <v>626</v>
      </c>
      <c r="B63" s="149" t="s">
        <v>94</v>
      </c>
      <c r="C63" s="574" t="s">
        <v>101</v>
      </c>
      <c r="D63" s="574"/>
      <c r="E63" s="39">
        <v>25.98</v>
      </c>
      <c r="F63" s="149">
        <v>2200</v>
      </c>
      <c r="G63" s="144">
        <f t="shared" si="45"/>
        <v>57156</v>
      </c>
      <c r="H63" s="48">
        <v>2</v>
      </c>
      <c r="I63" s="151">
        <v>21</v>
      </c>
      <c r="J63" s="43">
        <v>2400</v>
      </c>
      <c r="K63" s="18">
        <f t="shared" si="1"/>
        <v>114.28571428571429</v>
      </c>
      <c r="L63" s="147">
        <v>21</v>
      </c>
      <c r="M63" s="19">
        <f t="shared" si="46"/>
        <v>2315.7894736842109</v>
      </c>
      <c r="N63" s="18">
        <f t="shared" si="3"/>
        <v>110.27568922305765</v>
      </c>
      <c r="O63" s="20">
        <f t="shared" si="4"/>
        <v>0</v>
      </c>
      <c r="P63" s="21">
        <f t="shared" si="5"/>
        <v>-4.0100250626566378</v>
      </c>
      <c r="Q63" s="145">
        <f t="shared" si="6"/>
        <v>0.96491228070175439</v>
      </c>
      <c r="R63" s="573"/>
      <c r="S63" s="49">
        <v>0.19374999999999998</v>
      </c>
      <c r="T63" s="49">
        <v>0.23333333333333331</v>
      </c>
      <c r="U63" s="144">
        <f t="shared" ref="U63:U69" si="48">(S63-T62)*24*60</f>
        <v>25.999999999999986</v>
      </c>
      <c r="V63" s="148">
        <f t="shared" si="47"/>
        <v>57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-84.210526315789139</v>
      </c>
      <c r="AF63" s="145">
        <f t="shared" si="9"/>
        <v>0.9649122807017545</v>
      </c>
      <c r="AG63" s="573"/>
    </row>
    <row r="64" spans="1:33" ht="15.75" customHeight="1">
      <c r="A64" s="578" t="s">
        <v>626</v>
      </c>
      <c r="B64" s="149" t="s">
        <v>94</v>
      </c>
      <c r="C64" s="574" t="s">
        <v>123</v>
      </c>
      <c r="D64" s="574"/>
      <c r="E64" s="39">
        <v>20.21</v>
      </c>
      <c r="F64" s="149">
        <v>2200</v>
      </c>
      <c r="G64" s="144">
        <f t="shared" si="45"/>
        <v>44462</v>
      </c>
      <c r="H64" s="48">
        <v>2</v>
      </c>
      <c r="I64" s="151">
        <v>15</v>
      </c>
      <c r="J64" s="43">
        <v>2400</v>
      </c>
      <c r="K64" s="18">
        <f t="shared" si="1"/>
        <v>160</v>
      </c>
      <c r="L64" s="147">
        <v>15</v>
      </c>
      <c r="M64" s="19">
        <f t="shared" si="46"/>
        <v>2315.789473684209</v>
      </c>
      <c r="N64" s="18">
        <f t="shared" si="3"/>
        <v>154.3859649122806</v>
      </c>
      <c r="O64" s="20">
        <f t="shared" si="4"/>
        <v>0</v>
      </c>
      <c r="P64" s="21">
        <f t="shared" si="5"/>
        <v>-5.614035087719401</v>
      </c>
      <c r="Q64" s="145">
        <f t="shared" si="6"/>
        <v>0.96491228070175372</v>
      </c>
      <c r="R64" s="573"/>
      <c r="S64" s="49">
        <v>0.23888888888888887</v>
      </c>
      <c r="T64" s="49">
        <v>0.27847222222222223</v>
      </c>
      <c r="U64" s="144">
        <f t="shared" si="48"/>
        <v>8.0000000000000107</v>
      </c>
      <c r="V64" s="148">
        <f t="shared" si="47"/>
        <v>57.000000000000036</v>
      </c>
      <c r="W64" s="25"/>
      <c r="X64" s="25"/>
      <c r="Y64" s="25"/>
      <c r="Z64" s="25"/>
      <c r="AA64" s="575"/>
      <c r="AB64" s="575"/>
      <c r="AC64" s="50"/>
      <c r="AD64" s="27"/>
      <c r="AE64" s="20">
        <f t="shared" si="43"/>
        <v>-84.210526315790958</v>
      </c>
      <c r="AF64" s="145">
        <f t="shared" si="9"/>
        <v>0.96491228070175372</v>
      </c>
      <c r="AG64" s="573"/>
    </row>
    <row r="65" spans="1:33" ht="15.75" customHeight="1">
      <c r="A65" s="578" t="s">
        <v>626</v>
      </c>
      <c r="B65" s="149" t="s">
        <v>94</v>
      </c>
      <c r="C65" s="574" t="s">
        <v>125</v>
      </c>
      <c r="D65" s="574"/>
      <c r="E65" s="39">
        <v>19.02</v>
      </c>
      <c r="F65" s="149">
        <v>6000</v>
      </c>
      <c r="G65" s="144">
        <f t="shared" si="45"/>
        <v>114120</v>
      </c>
      <c r="H65" s="48">
        <v>2</v>
      </c>
      <c r="I65" s="151">
        <v>14</v>
      </c>
      <c r="J65" s="43">
        <v>2400</v>
      </c>
      <c r="K65" s="18">
        <f t="shared" si="1"/>
        <v>171.42857142857142</v>
      </c>
      <c r="L65" s="147">
        <v>14</v>
      </c>
      <c r="M65" s="19">
        <f t="shared" si="46"/>
        <v>2292.9936305732485</v>
      </c>
      <c r="N65" s="18">
        <f t="shared" si="3"/>
        <v>163.78525932666062</v>
      </c>
      <c r="O65" s="20">
        <f t="shared" si="4"/>
        <v>0</v>
      </c>
      <c r="P65" s="21">
        <f t="shared" si="5"/>
        <v>-7.6433121019107944</v>
      </c>
      <c r="Q65" s="145">
        <f t="shared" si="6"/>
        <v>0.95541401273885374</v>
      </c>
      <c r="R65" s="573"/>
      <c r="S65" s="49">
        <v>0.28333333333333333</v>
      </c>
      <c r="T65" s="49">
        <v>0.3923611111111111</v>
      </c>
      <c r="U65" s="144">
        <f t="shared" si="48"/>
        <v>6.9999999999999751</v>
      </c>
      <c r="V65" s="148">
        <f t="shared" si="47"/>
        <v>157</v>
      </c>
      <c r="W65" s="25"/>
      <c r="X65" s="25"/>
      <c r="Y65" s="25"/>
      <c r="Z65" s="25"/>
      <c r="AA65" s="575"/>
      <c r="AB65" s="575"/>
      <c r="AC65" s="50"/>
      <c r="AD65" s="27"/>
      <c r="AE65" s="20">
        <f t="shared" si="43"/>
        <v>-107.00636942675146</v>
      </c>
      <c r="AF65" s="145">
        <f t="shared" si="9"/>
        <v>0.95541401273885351</v>
      </c>
      <c r="AG65" s="573"/>
    </row>
    <row r="66" spans="1:33" ht="15.75" customHeight="1">
      <c r="A66" s="578" t="s">
        <v>626</v>
      </c>
      <c r="B66" s="149" t="s">
        <v>94</v>
      </c>
      <c r="C66" s="574" t="s">
        <v>99</v>
      </c>
      <c r="D66" s="574"/>
      <c r="E66" s="39">
        <v>20.36</v>
      </c>
      <c r="F66" s="149">
        <v>5763</v>
      </c>
      <c r="G66" s="144">
        <f t="shared" si="45"/>
        <v>117334.68</v>
      </c>
      <c r="H66" s="48" t="s">
        <v>126</v>
      </c>
      <c r="I66" s="151">
        <v>18</v>
      </c>
      <c r="J66" s="43">
        <v>2400</v>
      </c>
      <c r="K66" s="18">
        <f t="shared" si="1"/>
        <v>133.33333333333334</v>
      </c>
      <c r="L66" s="147">
        <v>18</v>
      </c>
      <c r="M66" s="19">
        <f t="shared" si="46"/>
        <v>2289.9337748344369</v>
      </c>
      <c r="N66" s="18">
        <f t="shared" si="3"/>
        <v>127.21854304635761</v>
      </c>
      <c r="O66" s="20">
        <f t="shared" si="4"/>
        <v>0</v>
      </c>
      <c r="P66" s="21">
        <f t="shared" si="5"/>
        <v>-6.1147902869757331</v>
      </c>
      <c r="Q66" s="145">
        <f t="shared" si="6"/>
        <v>0.95413907284768196</v>
      </c>
      <c r="R66" s="573"/>
      <c r="S66" s="49">
        <v>0.39583333333333331</v>
      </c>
      <c r="T66" s="49">
        <v>0.50069444444444444</v>
      </c>
      <c r="U66" s="144">
        <f t="shared" si="48"/>
        <v>4.9999999999999822</v>
      </c>
      <c r="V66" s="148">
        <f t="shared" si="47"/>
        <v>151.00000000000003</v>
      </c>
      <c r="W66" s="25">
        <f>T66</f>
        <v>0.50069444444444444</v>
      </c>
      <c r="X66" s="25">
        <f>S67</f>
        <v>0.5395833333333333</v>
      </c>
      <c r="Y66" s="25"/>
      <c r="Z66" s="25"/>
      <c r="AA66" s="575"/>
      <c r="AB66" s="575"/>
      <c r="AC66" s="50"/>
      <c r="AD66" s="27"/>
      <c r="AE66" s="20">
        <f t="shared" si="43"/>
        <v>-110.06622516556308</v>
      </c>
      <c r="AF66" s="145">
        <f t="shared" si="9"/>
        <v>0.95413907284768207</v>
      </c>
      <c r="AG66" s="573"/>
    </row>
    <row r="67" spans="1:33" ht="15.75" customHeight="1">
      <c r="A67" s="578" t="s">
        <v>626</v>
      </c>
      <c r="B67" s="149" t="s">
        <v>94</v>
      </c>
      <c r="C67" s="574" t="s">
        <v>125</v>
      </c>
      <c r="D67" s="574"/>
      <c r="E67" s="39">
        <v>19.02</v>
      </c>
      <c r="F67" s="149">
        <v>4485</v>
      </c>
      <c r="G67" s="144">
        <f t="shared" si="45"/>
        <v>85304.7</v>
      </c>
      <c r="H67" s="48" t="s">
        <v>126</v>
      </c>
      <c r="I67" s="151">
        <v>14</v>
      </c>
      <c r="J67" s="43">
        <v>2400</v>
      </c>
      <c r="K67" s="18">
        <f t="shared" si="1"/>
        <v>171.42857142857142</v>
      </c>
      <c r="L67" s="147">
        <v>14</v>
      </c>
      <c r="M67" s="19">
        <f t="shared" si="46"/>
        <v>2299.9999999999991</v>
      </c>
      <c r="N67" s="18">
        <f t="shared" si="3"/>
        <v>164.28571428571422</v>
      </c>
      <c r="O67" s="20">
        <f t="shared" si="4"/>
        <v>0</v>
      </c>
      <c r="P67" s="21">
        <f t="shared" si="5"/>
        <v>-7.1428571428571956</v>
      </c>
      <c r="Q67" s="145">
        <f t="shared" si="6"/>
        <v>0.95833333333333304</v>
      </c>
      <c r="R67" s="573"/>
      <c r="S67" s="49">
        <v>0.5395833333333333</v>
      </c>
      <c r="T67" s="49">
        <v>0.62083333333333335</v>
      </c>
      <c r="U67" s="144">
        <f t="shared" si="48"/>
        <v>55.999999999999957</v>
      </c>
      <c r="V67" s="148">
        <f t="shared" si="47"/>
        <v>117.00000000000006</v>
      </c>
      <c r="W67" s="25"/>
      <c r="X67" s="25"/>
      <c r="Y67" s="25"/>
      <c r="Z67" s="25"/>
      <c r="AA67" s="575"/>
      <c r="AB67" s="575"/>
      <c r="AC67" s="50"/>
      <c r="AD67" s="27"/>
      <c r="AE67" s="20">
        <f t="shared" si="43"/>
        <v>-100.00000000000091</v>
      </c>
      <c r="AF67" s="145">
        <f t="shared" si="9"/>
        <v>0.95833333333333293</v>
      </c>
      <c r="AG67" s="573"/>
    </row>
    <row r="68" spans="1:33" ht="15.75" customHeight="1">
      <c r="A68" s="578" t="s">
        <v>626</v>
      </c>
      <c r="B68" s="149" t="s">
        <v>94</v>
      </c>
      <c r="C68" s="566" t="s">
        <v>123</v>
      </c>
      <c r="D68" s="567"/>
      <c r="E68" s="39">
        <v>20.21</v>
      </c>
      <c r="F68" s="149">
        <v>1258</v>
      </c>
      <c r="G68" s="144">
        <f t="shared" si="45"/>
        <v>25424.18</v>
      </c>
      <c r="H68" s="48" t="s">
        <v>126</v>
      </c>
      <c r="I68" s="151">
        <v>15</v>
      </c>
      <c r="J68" s="43">
        <v>2400</v>
      </c>
      <c r="K68" s="18">
        <f t="shared" si="1"/>
        <v>160</v>
      </c>
      <c r="L68" s="147">
        <v>15</v>
      </c>
      <c r="M68" s="19">
        <f t="shared" si="46"/>
        <v>2287.2727272727243</v>
      </c>
      <c r="N68" s="18">
        <f t="shared" si="3"/>
        <v>152.4848484848483</v>
      </c>
      <c r="O68" s="20">
        <f t="shared" si="4"/>
        <v>0</v>
      </c>
      <c r="P68" s="21">
        <f t="shared" si="5"/>
        <v>-7.5151515151517003</v>
      </c>
      <c r="Q68" s="145">
        <f t="shared" si="6"/>
        <v>0.9530303030303019</v>
      </c>
      <c r="R68" s="573"/>
      <c r="S68" s="49">
        <v>0.62569444444444444</v>
      </c>
      <c r="T68" s="49">
        <v>0.64861111111111114</v>
      </c>
      <c r="U68" s="144">
        <f t="shared" si="48"/>
        <v>6.9999999999999751</v>
      </c>
      <c r="V68" s="148">
        <f t="shared" si="47"/>
        <v>33.000000000000043</v>
      </c>
      <c r="W68" s="25"/>
      <c r="X68" s="25"/>
      <c r="Y68" s="28"/>
      <c r="Z68" s="28"/>
      <c r="AA68" s="568"/>
      <c r="AB68" s="569"/>
      <c r="AC68" s="50"/>
      <c r="AD68" s="27"/>
      <c r="AE68" s="20">
        <f t="shared" si="43"/>
        <v>-112.7272727272757</v>
      </c>
      <c r="AF68" s="145">
        <f t="shared" si="9"/>
        <v>0.95303030303030178</v>
      </c>
      <c r="AG68" s="573"/>
    </row>
    <row r="69" spans="1:33" ht="15.75" customHeight="1">
      <c r="A69" s="578" t="s">
        <v>626</v>
      </c>
      <c r="B69" s="149" t="s">
        <v>94</v>
      </c>
      <c r="C69" s="566" t="s">
        <v>101</v>
      </c>
      <c r="D69" s="567"/>
      <c r="E69" s="39">
        <v>25.98</v>
      </c>
      <c r="F69" s="149">
        <v>1425</v>
      </c>
      <c r="G69" s="144">
        <f t="shared" si="45"/>
        <v>37021.5</v>
      </c>
      <c r="H69" s="48" t="s">
        <v>126</v>
      </c>
      <c r="I69" s="151">
        <v>21</v>
      </c>
      <c r="J69" s="43">
        <v>2400</v>
      </c>
      <c r="K69" s="18">
        <f t="shared" ref="K69:K70" si="49">J69/I69</f>
        <v>114.28571428571429</v>
      </c>
      <c r="L69" s="147">
        <v>21</v>
      </c>
      <c r="M69" s="19">
        <f t="shared" si="46"/>
        <v>2310.810810810809</v>
      </c>
      <c r="N69" s="18">
        <f t="shared" ref="N69:N70" si="50">M69/L69</f>
        <v>110.03861003860996</v>
      </c>
      <c r="O69" s="20">
        <f t="shared" ref="O69:O70" si="51">L69-I69</f>
        <v>0</v>
      </c>
      <c r="P69" s="21">
        <f t="shared" ref="P69:P70" si="52">N69-K69</f>
        <v>-4.2471042471043319</v>
      </c>
      <c r="Q69" s="145">
        <f t="shared" ref="Q69:Q70" si="53">N69/K69</f>
        <v>0.96283783783783705</v>
      </c>
      <c r="R69" s="573"/>
      <c r="S69" s="49">
        <v>0.65347222222222223</v>
      </c>
      <c r="T69" s="49">
        <v>0.6791666666666667</v>
      </c>
      <c r="U69" s="144">
        <f t="shared" si="48"/>
        <v>6.9999999999999751</v>
      </c>
      <c r="V69" s="148">
        <f t="shared" si="47"/>
        <v>37.000000000000028</v>
      </c>
      <c r="W69" s="25"/>
      <c r="X69" s="25"/>
      <c r="Y69" s="28"/>
      <c r="Z69" s="28"/>
      <c r="AA69" s="568"/>
      <c r="AB69" s="569"/>
      <c r="AC69" s="50"/>
      <c r="AD69" s="27"/>
      <c r="AE69" s="20">
        <f t="shared" si="43"/>
        <v>-89.189189189190984</v>
      </c>
      <c r="AF69" s="145">
        <f t="shared" ref="AF69:AF70" si="54">M69/J69</f>
        <v>0.96283783783783705</v>
      </c>
      <c r="AG69" s="573"/>
    </row>
    <row r="70" spans="1:33" ht="16.5" customHeight="1">
      <c r="A70" s="579" t="s">
        <v>71</v>
      </c>
      <c r="B70" s="39" t="s">
        <v>46</v>
      </c>
      <c r="C70" s="570"/>
      <c r="D70" s="571"/>
      <c r="E70" s="146"/>
      <c r="F70" s="42"/>
      <c r="G70" s="18"/>
      <c r="H70" s="149"/>
      <c r="I70" s="32">
        <v>16.625</v>
      </c>
      <c r="J70" s="43">
        <v>2400</v>
      </c>
      <c r="K70" s="18">
        <f t="shared" si="49"/>
        <v>144.3609022556391</v>
      </c>
      <c r="L70" s="32">
        <v>16.625</v>
      </c>
      <c r="M70" s="19">
        <f>AVERAGE(M62:M69)</f>
        <v>2300.4271198161014</v>
      </c>
      <c r="N70" s="18">
        <f t="shared" si="50"/>
        <v>138.37155607916398</v>
      </c>
      <c r="O70" s="20">
        <f t="shared" si="51"/>
        <v>0</v>
      </c>
      <c r="P70" s="21">
        <f t="shared" si="52"/>
        <v>-5.9893461764751237</v>
      </c>
      <c r="Q70" s="145">
        <f t="shared" si="53"/>
        <v>0.95851129992337547</v>
      </c>
      <c r="R70" s="573"/>
      <c r="S70" s="49"/>
      <c r="T70" s="49"/>
      <c r="U70" s="18"/>
      <c r="V70" s="148"/>
      <c r="W70" s="18"/>
      <c r="X70" s="18"/>
      <c r="Y70" s="33">
        <f>SUM(Y62:Y69)</f>
        <v>0</v>
      </c>
      <c r="Z70" s="33">
        <f>SUM(Z62:Z69)</f>
        <v>0</v>
      </c>
      <c r="AA70" s="572"/>
      <c r="AB70" s="572"/>
      <c r="AC70" s="33">
        <v>8</v>
      </c>
      <c r="AD70" s="33">
        <f>SUM(AD62:AD69)</f>
        <v>0</v>
      </c>
      <c r="AE70" s="20">
        <f t="shared" si="43"/>
        <v>-99.572880183898633</v>
      </c>
      <c r="AF70" s="145">
        <f t="shared" si="54"/>
        <v>0.95851129992337558</v>
      </c>
      <c r="AG70" s="573"/>
    </row>
    <row r="71" spans="1:33">
      <c r="D71" s="35"/>
      <c r="E71" s="35"/>
      <c r="H71" s="124"/>
    </row>
  </sheetData>
  <mergeCells count="193">
    <mergeCell ref="A55:A61"/>
    <mergeCell ref="C55:D55"/>
    <mergeCell ref="R55:R61"/>
    <mergeCell ref="AA55:AB55"/>
    <mergeCell ref="A62:A70"/>
    <mergeCell ref="C62:D62"/>
    <mergeCell ref="R62:R70"/>
    <mergeCell ref="AA62:AB62"/>
    <mergeCell ref="AG62:AG70"/>
    <mergeCell ref="C63:D63"/>
    <mergeCell ref="AA63:AB63"/>
    <mergeCell ref="C64:D64"/>
    <mergeCell ref="AA64:AB64"/>
    <mergeCell ref="C65:D65"/>
    <mergeCell ref="C69:D69"/>
    <mergeCell ref="AA69:AB69"/>
    <mergeCell ref="C70:D70"/>
    <mergeCell ref="AA70:AB70"/>
    <mergeCell ref="AA65:AB65"/>
    <mergeCell ref="C66:D66"/>
    <mergeCell ref="AA66:AB66"/>
    <mergeCell ref="C67:D67"/>
    <mergeCell ref="AA67:AB67"/>
    <mergeCell ref="C68:D68"/>
    <mergeCell ref="AA68:AB68"/>
    <mergeCell ref="AG55:AG61"/>
    <mergeCell ref="C56:D56"/>
    <mergeCell ref="AA56:AB56"/>
    <mergeCell ref="C57:D57"/>
    <mergeCell ref="AA57:AB57"/>
    <mergeCell ref="C58:D58"/>
    <mergeCell ref="AA51:AB51"/>
    <mergeCell ref="C52:D52"/>
    <mergeCell ref="AA52:AB52"/>
    <mergeCell ref="C53:D53"/>
    <mergeCell ref="AA53:AB53"/>
    <mergeCell ref="C54:D54"/>
    <mergeCell ref="AA54:AB54"/>
    <mergeCell ref="AA58:AB58"/>
    <mergeCell ref="C59:D59"/>
    <mergeCell ref="AA59:AB59"/>
    <mergeCell ref="C60:D60"/>
    <mergeCell ref="AA60:AB60"/>
    <mergeCell ref="C61:D61"/>
    <mergeCell ref="AA61:AB61"/>
    <mergeCell ref="A47:A54"/>
    <mergeCell ref="C47:D47"/>
    <mergeCell ref="R47:R54"/>
    <mergeCell ref="AA47:AB47"/>
    <mergeCell ref="AG47:AG54"/>
    <mergeCell ref="C48:D48"/>
    <mergeCell ref="AA48:AB48"/>
    <mergeCell ref="C49:D49"/>
    <mergeCell ref="AA49:AB49"/>
    <mergeCell ref="AA50:AB50"/>
    <mergeCell ref="A42:A46"/>
    <mergeCell ref="C42:D42"/>
    <mergeCell ref="R42:R46"/>
    <mergeCell ref="AA42:AB42"/>
    <mergeCell ref="AG33:AG41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G42:AG46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A25:A32"/>
    <mergeCell ref="C25:D25"/>
    <mergeCell ref="R25:R32"/>
    <mergeCell ref="AA25:AB25"/>
    <mergeCell ref="C32:D32"/>
    <mergeCell ref="AA32:AB32"/>
    <mergeCell ref="A33:A41"/>
    <mergeCell ref="C33:D33"/>
    <mergeCell ref="R33:R41"/>
    <mergeCell ref="AA33:AB33"/>
    <mergeCell ref="AA38:AB38"/>
    <mergeCell ref="C39:D39"/>
    <mergeCell ref="AA39:AB39"/>
    <mergeCell ref="C40:D40"/>
    <mergeCell ref="AA40:AB40"/>
    <mergeCell ref="C41:D41"/>
    <mergeCell ref="AA41:AB41"/>
    <mergeCell ref="AG25:AG32"/>
    <mergeCell ref="C26:D26"/>
    <mergeCell ref="AA26:AB26"/>
    <mergeCell ref="C27:D27"/>
    <mergeCell ref="AA27:AB27"/>
    <mergeCell ref="C28:D28"/>
    <mergeCell ref="AG18:AG24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8:AB28"/>
    <mergeCell ref="C29:D29"/>
    <mergeCell ref="AA29:AB29"/>
    <mergeCell ref="C30:D30"/>
    <mergeCell ref="AA30:AB30"/>
    <mergeCell ref="C31:D31"/>
    <mergeCell ref="AA31:AB31"/>
    <mergeCell ref="A18:A24"/>
    <mergeCell ref="C18:D18"/>
    <mergeCell ref="R18:R24"/>
    <mergeCell ref="AA18:AB18"/>
    <mergeCell ref="AA23:AB23"/>
    <mergeCell ref="C24:D24"/>
    <mergeCell ref="AA24:AB24"/>
    <mergeCell ref="A13:A17"/>
    <mergeCell ref="C13:D13"/>
    <mergeCell ref="R13:R17"/>
    <mergeCell ref="AA13:AB13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8:O67 O54:O55 O70 O5:O10 O12:O14 O17:O52">
    <cfRule type="cellIs" dxfId="383" priority="46" operator="greaterThan">
      <formula>0</formula>
    </cfRule>
  </conditionalFormatting>
  <conditionalFormatting sqref="P5:P8 P58:P60 AE58:AE60 P62:P67 P25:P31 P55 P10 P12:P14 P18:P23 P47:P52 P33:P45 AE5:AE55 AE62:AE70">
    <cfRule type="cellIs" dxfId="382" priority="50" operator="lessThan">
      <formula>0</formula>
    </cfRule>
  </conditionalFormatting>
  <conditionalFormatting sqref="AF58:AF60 Q58:Q67 Q54:Q55 Q70 Q5:Q10 Q12:Q14 Q17:Q52 AF5:AF55 AF62:AF70">
    <cfRule type="cellIs" dxfId="381" priority="47" operator="greaterThan">
      <formula>1</formula>
    </cfRule>
    <cfRule type="cellIs" dxfId="380" priority="48" operator="lessThan">
      <formula>0.8</formula>
    </cfRule>
  </conditionalFormatting>
  <conditionalFormatting sqref="AG13:AG14 R13:R14 AG58 R58:R67 AG54:AG55 R54:R55 R70 AG5:AG10 R5:R10 R17:R52 AG17:AG52">
    <cfRule type="cellIs" dxfId="379" priority="52" operator="lessThan">
      <formula>0.8</formula>
    </cfRule>
  </conditionalFormatting>
  <conditionalFormatting sqref="AG42">
    <cfRule type="cellIs" dxfId="378" priority="54" operator="lessThan">
      <formula>0.8</formula>
    </cfRule>
  </conditionalFormatting>
  <conditionalFormatting sqref="AG18:AG23">
    <cfRule type="cellIs" dxfId="377" priority="51" operator="lessThan">
      <formula>0.8</formula>
    </cfRule>
  </conditionalFormatting>
  <conditionalFormatting sqref="AG25">
    <cfRule type="cellIs" dxfId="376" priority="53" operator="lessThan">
      <formula>0.8</formula>
    </cfRule>
  </conditionalFormatting>
  <conditionalFormatting sqref="AG33:AG40">
    <cfRule type="cellIs" dxfId="375" priority="49" operator="lessThan">
      <formula>0.8</formula>
    </cfRule>
  </conditionalFormatting>
  <conditionalFormatting sqref="AE61">
    <cfRule type="cellIs" dxfId="374" priority="45" operator="lessThan">
      <formula>0</formula>
    </cfRule>
  </conditionalFormatting>
  <conditionalFormatting sqref="AF61">
    <cfRule type="cellIs" dxfId="373" priority="43" operator="greaterThan">
      <formula>1</formula>
    </cfRule>
    <cfRule type="cellIs" dxfId="372" priority="44" operator="lessThan">
      <formula>0.8</formula>
    </cfRule>
  </conditionalFormatting>
  <conditionalFormatting sqref="O15:O16">
    <cfRule type="cellIs" dxfId="371" priority="38" operator="greaterThan">
      <formula>0</formula>
    </cfRule>
  </conditionalFormatting>
  <conditionalFormatting sqref="P15:P16">
    <cfRule type="cellIs" dxfId="370" priority="41" operator="lessThan">
      <formula>0</formula>
    </cfRule>
  </conditionalFormatting>
  <conditionalFormatting sqref="Q15:Q16">
    <cfRule type="cellIs" dxfId="369" priority="39" operator="greaterThan">
      <formula>1</formula>
    </cfRule>
    <cfRule type="cellIs" dxfId="368" priority="40" operator="lessThan">
      <formula>0.8</formula>
    </cfRule>
  </conditionalFormatting>
  <conditionalFormatting sqref="R15:R16 AG15:AG16">
    <cfRule type="cellIs" dxfId="367" priority="42" operator="lessThan">
      <formula>0.8</formula>
    </cfRule>
  </conditionalFormatting>
  <conditionalFormatting sqref="O11">
    <cfRule type="cellIs" dxfId="366" priority="34" operator="greaterThan">
      <formula>0</formula>
    </cfRule>
  </conditionalFormatting>
  <conditionalFormatting sqref="P11">
    <cfRule type="cellIs" dxfId="365" priority="37" operator="lessThan">
      <formula>0</formula>
    </cfRule>
  </conditionalFormatting>
  <conditionalFormatting sqref="Q11">
    <cfRule type="cellIs" dxfId="364" priority="35" operator="greaterThan">
      <formula>1</formula>
    </cfRule>
    <cfRule type="cellIs" dxfId="363" priority="36" operator="lessThan">
      <formula>0.8</formula>
    </cfRule>
  </conditionalFormatting>
  <conditionalFormatting sqref="O53">
    <cfRule type="cellIs" dxfId="362" priority="29" operator="greaterThan">
      <formula>0</formula>
    </cfRule>
  </conditionalFormatting>
  <conditionalFormatting sqref="P53">
    <cfRule type="cellIs" dxfId="361" priority="32" operator="lessThan">
      <formula>0</formula>
    </cfRule>
  </conditionalFormatting>
  <conditionalFormatting sqref="Q53">
    <cfRule type="cellIs" dxfId="360" priority="30" operator="greaterThan">
      <formula>1</formula>
    </cfRule>
    <cfRule type="cellIs" dxfId="359" priority="31" operator="lessThan">
      <formula>0.8</formula>
    </cfRule>
  </conditionalFormatting>
  <conditionalFormatting sqref="R53 AG53">
    <cfRule type="cellIs" dxfId="358" priority="33" operator="lessThan">
      <formula>0.8</formula>
    </cfRule>
  </conditionalFormatting>
  <conditionalFormatting sqref="O57">
    <cfRule type="cellIs" dxfId="357" priority="24" operator="greaterThan">
      <formula>0</formula>
    </cfRule>
  </conditionalFormatting>
  <conditionalFormatting sqref="P57 AE57">
    <cfRule type="cellIs" dxfId="356" priority="27" operator="lessThan">
      <formula>0</formula>
    </cfRule>
  </conditionalFormatting>
  <conditionalFormatting sqref="Q57 AF57">
    <cfRule type="cellIs" dxfId="355" priority="25" operator="greaterThan">
      <formula>1</formula>
    </cfRule>
    <cfRule type="cellIs" dxfId="354" priority="26" operator="lessThan">
      <formula>0.8</formula>
    </cfRule>
  </conditionalFormatting>
  <conditionalFormatting sqref="R57 AG57">
    <cfRule type="cellIs" dxfId="353" priority="28" operator="lessThan">
      <formula>0.8</formula>
    </cfRule>
  </conditionalFormatting>
  <conditionalFormatting sqref="O68">
    <cfRule type="cellIs" dxfId="352" priority="19" operator="greaterThan">
      <formula>0</formula>
    </cfRule>
  </conditionalFormatting>
  <conditionalFormatting sqref="P68">
    <cfRule type="cellIs" dxfId="351" priority="22" operator="lessThan">
      <formula>0</formula>
    </cfRule>
  </conditionalFormatting>
  <conditionalFormatting sqref="Q68">
    <cfRule type="cellIs" dxfId="350" priority="20" operator="greaterThan">
      <formula>1</formula>
    </cfRule>
    <cfRule type="cellIs" dxfId="349" priority="21" operator="lessThan">
      <formula>0.8</formula>
    </cfRule>
  </conditionalFormatting>
  <conditionalFormatting sqref="R68">
    <cfRule type="cellIs" dxfId="348" priority="23" operator="lessThan">
      <formula>0.8</formula>
    </cfRule>
  </conditionalFormatting>
  <conditionalFormatting sqref="O56">
    <cfRule type="cellIs" dxfId="347" priority="14" operator="greaterThan">
      <formula>0</formula>
    </cfRule>
  </conditionalFormatting>
  <conditionalFormatting sqref="P56 AE56">
    <cfRule type="cellIs" dxfId="346" priority="17" operator="lessThan">
      <formula>0</formula>
    </cfRule>
  </conditionalFormatting>
  <conditionalFormatting sqref="Q56 AF56">
    <cfRule type="cellIs" dxfId="345" priority="15" operator="greaterThan">
      <formula>1</formula>
    </cfRule>
    <cfRule type="cellIs" dxfId="344" priority="16" operator="lessThan">
      <formula>0.8</formula>
    </cfRule>
  </conditionalFormatting>
  <conditionalFormatting sqref="R56 AG56">
    <cfRule type="cellIs" dxfId="343" priority="18" operator="lessThan">
      <formula>0.8</formula>
    </cfRule>
  </conditionalFormatting>
  <conditionalFormatting sqref="P9">
    <cfRule type="cellIs" dxfId="342" priority="13" operator="lessThan">
      <formula>0</formula>
    </cfRule>
  </conditionalFormatting>
  <conditionalFormatting sqref="P17">
    <cfRule type="cellIs" dxfId="341" priority="12" operator="lessThan">
      <formula>0</formula>
    </cfRule>
  </conditionalFormatting>
  <conditionalFormatting sqref="P24">
    <cfRule type="cellIs" dxfId="340" priority="11" operator="lessThan">
      <formula>0</formula>
    </cfRule>
  </conditionalFormatting>
  <conditionalFormatting sqref="P32">
    <cfRule type="cellIs" dxfId="339" priority="10" operator="lessThan">
      <formula>0</formula>
    </cfRule>
  </conditionalFormatting>
  <conditionalFormatting sqref="P46">
    <cfRule type="cellIs" dxfId="338" priority="9" operator="lessThan">
      <formula>0</formula>
    </cfRule>
  </conditionalFormatting>
  <conditionalFormatting sqref="P54">
    <cfRule type="cellIs" dxfId="337" priority="8" operator="lessThan">
      <formula>0</formula>
    </cfRule>
  </conditionalFormatting>
  <conditionalFormatting sqref="P61">
    <cfRule type="cellIs" dxfId="336" priority="7" operator="lessThan">
      <formula>0</formula>
    </cfRule>
  </conditionalFormatting>
  <conditionalFormatting sqref="P70">
    <cfRule type="cellIs" dxfId="335" priority="6" operator="lessThan">
      <formula>0</formula>
    </cfRule>
  </conditionalFormatting>
  <conditionalFormatting sqref="O69">
    <cfRule type="cellIs" dxfId="334" priority="1" operator="greaterThan">
      <formula>0</formula>
    </cfRule>
  </conditionalFormatting>
  <conditionalFormatting sqref="P69">
    <cfRule type="cellIs" dxfId="333" priority="4" operator="lessThan">
      <formula>0</formula>
    </cfRule>
  </conditionalFormatting>
  <conditionalFormatting sqref="Q69">
    <cfRule type="cellIs" dxfId="332" priority="2" operator="greaterThan">
      <formula>1</formula>
    </cfRule>
    <cfRule type="cellIs" dxfId="331" priority="3" operator="lessThan">
      <formula>0.8</formula>
    </cfRule>
  </conditionalFormatting>
  <conditionalFormatting sqref="R69">
    <cfRule type="cellIs" dxfId="330" priority="5" operator="lessThan">
      <formula>0.8</formula>
    </cfRule>
  </conditionalFormatting>
  <dataValidations count="1">
    <dataValidation type="list" allowBlank="1" showInputMessage="1" showErrorMessage="1" sqref="AB9 AA5:AB8 AB59:AB60 AA9:AA60 AB11:AB55 AA61:AB7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1128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128</v>
      </c>
      <c r="C3" s="555" t="str">
        <f>TEXT('0505 4度C'!A2,"yyyy.mm.ddaaaa")</f>
        <v>2026.05.05星期二</v>
      </c>
      <c r="D3" s="556"/>
      <c r="E3" s="54" t="s">
        <v>1129</v>
      </c>
      <c r="F3" s="557">
        <f>'0505 4度C'!D1</f>
        <v>196874</v>
      </c>
      <c r="G3" s="558"/>
      <c r="H3" s="54" t="s">
        <v>1130</v>
      </c>
      <c r="I3" s="559">
        <f>'0505 4度C'!F1</f>
        <v>6595671.0300000012</v>
      </c>
      <c r="J3" s="560"/>
      <c r="K3" s="55"/>
      <c r="L3" s="56"/>
      <c r="M3" s="57"/>
      <c r="N3" s="57"/>
    </row>
    <row r="4" spans="2:17" ht="28.5" customHeight="1">
      <c r="B4" s="561" t="s">
        <v>1131</v>
      </c>
      <c r="C4" s="547" t="s">
        <v>1132</v>
      </c>
      <c r="D4" s="548"/>
      <c r="E4" s="564" t="s">
        <v>1133</v>
      </c>
      <c r="F4" s="565"/>
      <c r="G4" s="564" t="s">
        <v>1134</v>
      </c>
      <c r="H4" s="565"/>
      <c r="I4" s="564" t="s">
        <v>1135</v>
      </c>
      <c r="J4" s="565"/>
      <c r="K4" s="545" t="s">
        <v>1136</v>
      </c>
      <c r="L4" s="546"/>
      <c r="M4" s="546" t="s">
        <v>1137</v>
      </c>
      <c r="N4" s="546"/>
    </row>
    <row r="5" spans="2:17" ht="28.5" customHeight="1">
      <c r="B5" s="562"/>
      <c r="C5" s="547" t="s">
        <v>1138</v>
      </c>
      <c r="D5" s="548"/>
      <c r="E5" s="547" t="s">
        <v>1139</v>
      </c>
      <c r="F5" s="548"/>
      <c r="G5" s="549" t="s">
        <v>1140</v>
      </c>
      <c r="H5" s="550"/>
      <c r="I5" s="551" t="s">
        <v>1141</v>
      </c>
      <c r="J5" s="552"/>
      <c r="K5" s="58" t="s">
        <v>1142</v>
      </c>
      <c r="L5" s="59" t="s">
        <v>1143</v>
      </c>
      <c r="M5" s="58" t="s">
        <v>1144</v>
      </c>
      <c r="N5" s="59" t="s">
        <v>209</v>
      </c>
    </row>
    <row r="6" spans="2:17" ht="28.5" customHeight="1">
      <c r="B6" s="562"/>
      <c r="C6" s="547" t="s">
        <v>145</v>
      </c>
      <c r="D6" s="548"/>
      <c r="E6" s="539">
        <f>AVERAGE(D13:M13)</f>
        <v>152.09266145654914</v>
      </c>
      <c r="F6" s="540">
        <f>AVERAGE(D31:O31,D13:J13)</f>
        <v>158.40494569612534</v>
      </c>
      <c r="G6" s="541">
        <f>AVERAGE(D13:J13)</f>
        <v>158.40494569612534</v>
      </c>
      <c r="H6" s="542"/>
      <c r="I6" s="541">
        <f>AVERAGE(K13:M13)</f>
        <v>137.36399823087129</v>
      </c>
      <c r="J6" s="542"/>
      <c r="K6" s="543">
        <f>'0505 4度C'!Y2</f>
        <v>0</v>
      </c>
      <c r="L6" s="528">
        <f>'0505 4度C'!Z2</f>
        <v>0</v>
      </c>
      <c r="M6" s="544">
        <f>'0505 4度C'!AC2</f>
        <v>58</v>
      </c>
      <c r="N6" s="528">
        <f>'0505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145.60479051730633</v>
      </c>
      <c r="F7" s="532">
        <f>AVERAGE(D32:O32,D14:J14)</f>
        <v>151.72668718323322</v>
      </c>
      <c r="G7" s="533">
        <f>AVERAGE(D14:J14)</f>
        <v>151.72668718323322</v>
      </c>
      <c r="H7" s="534"/>
      <c r="I7" s="533">
        <f>AVERAGE(K14:M14)</f>
        <v>131.32036496347692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0.95740813817306303</v>
      </c>
      <c r="F8" s="536">
        <f>AVERAGE(D15:J15,D33:O33)</f>
        <v>0.95803638972118244</v>
      </c>
      <c r="G8" s="537">
        <f>AVERAGE(D15:J15)</f>
        <v>0.95803638972118244</v>
      </c>
      <c r="H8" s="538"/>
      <c r="I8" s="537">
        <f>AVERAGE(K15:M15)</f>
        <v>0.95594221789411815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1145</v>
      </c>
      <c r="N9" s="57"/>
      <c r="O9" s="57"/>
      <c r="P9" s="57"/>
      <c r="Q9" s="57"/>
    </row>
    <row r="10" spans="2:17" ht="30" customHeight="1">
      <c r="B10" s="511" t="s">
        <v>1146</v>
      </c>
      <c r="C10" s="512"/>
      <c r="D10" s="513" t="s">
        <v>150</v>
      </c>
      <c r="E10" s="514"/>
      <c r="F10" s="514"/>
      <c r="G10" s="514"/>
      <c r="H10" s="514"/>
      <c r="I10" s="514"/>
      <c r="J10" s="515"/>
      <c r="K10" s="516" t="s">
        <v>1147</v>
      </c>
      <c r="L10" s="517"/>
      <c r="M10" s="518"/>
      <c r="P10" s="63"/>
      <c r="Q10" s="63"/>
    </row>
    <row r="11" spans="2:17" ht="17.25" customHeight="1">
      <c r="B11" s="519" t="s">
        <v>1148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1149</v>
      </c>
      <c r="C13" s="70" t="s">
        <v>1150</v>
      </c>
      <c r="D13" s="71">
        <f>SUMIFS('0505 4度C'!$K:$K,'0505 4度C'!$A:$A,"新豐6線",'0505 4度C'!$B:$B,"平均")</f>
        <v>121.95121951219514</v>
      </c>
      <c r="E13" s="72">
        <f>SUMIFS('0505 4度C'!$K:$K,'0505 4度C'!$A:$A,"新豐2線",'0505 4度C'!$B:$B,"平均")</f>
        <v>84.905660377358487</v>
      </c>
      <c r="F13" s="73">
        <f>SUMIFS('0505 4度C'!$K:$K,'0505 4度C'!$A:$A,"新豐5線",'0505 4度C'!$B:$B,"平均")</f>
        <v>105.61797752808988</v>
      </c>
      <c r="G13" s="73">
        <f>SUMIFS('0505 4度C'!$K:$K,'0505 4度C'!$A:$A,"新豐7線",'0505 4度C'!$B:$B,"平均")</f>
        <v>121.05263157894737</v>
      </c>
      <c r="H13" s="73">
        <f>SUMIFS('0505 4度C'!$K:$K,'0505 4度C'!$A:$A,"新豐3線",'0505 4度C'!$B:$B,"平均")</f>
        <v>255.81395348837211</v>
      </c>
      <c r="I13" s="73">
        <f>SUMIFS('0505 4度C'!$K:$K,'0505 4度C'!$A:$A,"新豐1線",'0505 4度C'!$B:$B,"平均")</f>
        <v>103.70370370370371</v>
      </c>
      <c r="J13" s="74">
        <f>SUMIFS('0505 4度C'!$K:$K,'0505 4度C'!$A:$A,"新豐10線",'0505 4度C'!$B:$B,"平均")</f>
        <v>315.78947368421052</v>
      </c>
      <c r="K13" s="75">
        <f>SUMIFS('0505 4度C'!$K:$K,'0505 4度C'!$A:$A,"新豐8線",'0505 4度C'!$B:$B,"平均")</f>
        <v>140</v>
      </c>
      <c r="L13" s="76">
        <f>SUMIFS('0505 4度C'!$K:$K,'0505 4度C'!$A:$A,"新豐9線",'0505 4度C'!$B:$B,"平均")</f>
        <v>127.73109243697479</v>
      </c>
      <c r="M13" s="74">
        <f>SUMIFS('0505 4度C'!$K:$K,'0505 4度C'!$A:$A,"新豐4線",'0505 4度C'!$B:$B,"平均")</f>
        <v>144.3609022556391</v>
      </c>
    </row>
    <row r="14" spans="2:17" ht="39.6" customHeight="1">
      <c r="B14" s="524"/>
      <c r="C14" s="77" t="s">
        <v>1151</v>
      </c>
      <c r="D14" s="78">
        <f>SUMIFS('0505 4度C'!$N:$N,'0505 4度C'!$A:$A,"新豐6線",'0505 4度C'!$B:$B,"平均")</f>
        <v>117.24608874074895</v>
      </c>
      <c r="E14" s="79">
        <f>SUMIFS('0505 4度C'!$N:$N,'0505 4度C'!$A:$A,"新豐2線",'0505 4度C'!$B:$B,"平均")</f>
        <v>81.153209653695313</v>
      </c>
      <c r="F14" s="79">
        <f>SUMIFS('0505 4度C'!$N:$N,'0505 4度C'!$A:$A,"新豐5線",'0505 4度C'!$B:$B,"平均")</f>
        <v>101.11635418846487</v>
      </c>
      <c r="G14" s="79">
        <f>SUMIFS('0505 4度C'!$N:$N,'0505 4度C'!$A:$A,"新豐7線",'0505 4度C'!$B:$B,"平均")</f>
        <v>115.71222919256373</v>
      </c>
      <c r="H14" s="79">
        <f>SUMIFS('0505 4度C'!$N:$N,'0505 4度C'!$A:$A,"新豐3線",'0505 4度C'!$B:$B,"平均")</f>
        <v>244.29168638750309</v>
      </c>
      <c r="I14" s="79">
        <f>SUMIFS('0505 4度C'!$N:$N,'0505 4度C'!$A:$A,"新豐1線",'0505 4度C'!$B:$B,"平均")</f>
        <v>99.752435755955403</v>
      </c>
      <c r="J14" s="80">
        <f>SUMIFS('0505 4度C'!$N:$N,'0505 4度C'!$A:$A,"新豐10線",'0505 4度C'!$B:$B,"平均")</f>
        <v>302.81480636370134</v>
      </c>
      <c r="K14" s="81">
        <f>SUMIFS('0505 4度C'!$N:$N,'0505 4度C'!$A:$A,"新豐8線",'0505 4度C'!$B:$B,"平均")</f>
        <v>134.06438661346016</v>
      </c>
      <c r="L14" s="82">
        <f>SUMIFS('0505 4度C'!$N:$N,'0505 4度C'!$A:$A,"新豐9線",'0505 4度C'!$B:$B,"平均")</f>
        <v>121.85621289727067</v>
      </c>
      <c r="M14" s="80">
        <f>SUMIFS('0505 4度C'!$N:$N,'0505 4度C'!$A:$A,"新豐4線",'0505 4度C'!$B:$B,"平均")</f>
        <v>138.04049537969996</v>
      </c>
    </row>
    <row r="15" spans="2:17" ht="40.15" customHeight="1">
      <c r="B15" s="525"/>
      <c r="C15" s="83" t="s">
        <v>1152</v>
      </c>
      <c r="D15" s="84">
        <f t="shared" ref="D15:M15" si="0">D14/D13</f>
        <v>0.96141792767414125</v>
      </c>
      <c r="E15" s="85">
        <f t="shared" si="0"/>
        <v>0.95580446925463369</v>
      </c>
      <c r="F15" s="85">
        <f t="shared" si="0"/>
        <v>0.95737824710355046</v>
      </c>
      <c r="G15" s="85">
        <f t="shared" si="0"/>
        <v>0.95588363246030905</v>
      </c>
      <c r="H15" s="85">
        <f t="shared" si="0"/>
        <v>0.95495841042387564</v>
      </c>
      <c r="I15" s="85">
        <f t="shared" si="0"/>
        <v>0.96189848764671282</v>
      </c>
      <c r="J15" s="86">
        <f t="shared" si="0"/>
        <v>0.95891355348505425</v>
      </c>
      <c r="K15" s="84">
        <f t="shared" si="0"/>
        <v>0.95760276152471546</v>
      </c>
      <c r="L15" s="85">
        <f t="shared" si="0"/>
        <v>0.9540058772878427</v>
      </c>
      <c r="M15" s="86">
        <f t="shared" si="0"/>
        <v>0.95621801486979652</v>
      </c>
    </row>
    <row r="16" spans="2:17" ht="17.25" customHeight="1">
      <c r="B16" s="526" t="s">
        <v>1153</v>
      </c>
      <c r="C16" s="87" t="s">
        <v>839</v>
      </c>
      <c r="D16" s="88">
        <f>VLOOKUP("新豐6線",'0505 4度C'!$A:$T,19,0)</f>
        <v>0.70833333333333337</v>
      </c>
      <c r="E16" s="89">
        <f>VLOOKUP("新豐2線",'0505 4度C'!$A:$T,19,0)</f>
        <v>0.20833333333333334</v>
      </c>
      <c r="F16" s="89">
        <f>VLOOKUP("新豐5線",'0505 4度C'!$A:$T,19,0)</f>
        <v>0.20833333333333334</v>
      </c>
      <c r="G16" s="89">
        <f>VLOOKUP("新豐7線",'0505 4度C'!$A:$T,19,0)</f>
        <v>0.20833333333333334</v>
      </c>
      <c r="H16" s="89">
        <f>VLOOKUP("新豐3線",'0505 4度C'!$A:$T,19,0)</f>
        <v>8.3333333333333329E-2</v>
      </c>
      <c r="I16" s="89">
        <f>VLOOKUP("新豐1線",'0505 4度C'!$A:$T,19,0)</f>
        <v>0.20833333333333334</v>
      </c>
      <c r="J16" s="90">
        <f>VLOOKUP("新豐10線",'0505 4度C'!$A:$T,19,0)</f>
        <v>0.20833333333333334</v>
      </c>
      <c r="K16" s="91">
        <f>VLOOKUP("新豐8線",'0505 4度C'!$A:$T,19,0)</f>
        <v>8.3333333333333329E-2</v>
      </c>
      <c r="L16" s="92">
        <f>VLOOKUP("新豐9線",'0505 4度C'!$A:$T,19,0)</f>
        <v>8.3333333333333329E-2</v>
      </c>
      <c r="M16" s="93">
        <f>VLOOKUP("新豐4線",'0505 4度C'!$A:$T,19,0)</f>
        <v>8.3333333333333329E-2</v>
      </c>
    </row>
    <row r="17" spans="2:13" ht="17.25" customHeight="1">
      <c r="B17" s="527"/>
      <c r="C17" s="87" t="s">
        <v>1154</v>
      </c>
      <c r="D17" s="91">
        <f>LOOKUP(2,1/(('0505 4度C'!$A:$A="新豐6線")*('0505 4度C'!$T:$T&lt;&gt;"")),'0505 4度C'!$T:$T)</f>
        <v>0.90277777777777779</v>
      </c>
      <c r="E17" s="89">
        <f>LOOKUP(2,1/(('0505 4度C'!$A:$A="新豐2線")*('0505 4度C'!$T:$T&lt;&gt;"")),'0505 4度C'!$T:$T)</f>
        <v>0.63472222222222219</v>
      </c>
      <c r="F17" s="89">
        <f>LOOKUP(2,1/(('0505 4度C'!$A:$A="新豐5線")*('0505 4度C'!$T:$T&lt;&gt;"")),'0505 4度C'!$T:$T)</f>
        <v>0.84930555555555554</v>
      </c>
      <c r="G17" s="89">
        <f>LOOKUP(2,1/(('0505 4度C'!$A:$A="新豐7線")*('0505 4度C'!$T:$T&lt;&gt;"")),'0505 4度C'!$T:$T)</f>
        <v>0.81666666666666676</v>
      </c>
      <c r="H17" s="89">
        <f>LOOKUP(2,1/(('0505 4度C'!$A:$A="新豐3線")*('0505 4度C'!$T:$T&lt;&gt;"")),'0505 4度C'!$T:$T)</f>
        <v>0.47499999999999998</v>
      </c>
      <c r="I17" s="89">
        <f>LOOKUP(2,1/(('0505 4度C'!$A:$A="新豐1線")*('0505 4度C'!$T:$T&lt;&gt;"")),'0505 4度C'!$T:$T)</f>
        <v>0.82361111111111107</v>
      </c>
      <c r="J17" s="90">
        <f>LOOKUP(2,1/(('0505 4度C'!$A:$A="新豐10線")*('0505 4度C'!$T:$T&lt;&gt;"")),'0505 4度C'!$T:$T)</f>
        <v>0.44722222222222219</v>
      </c>
      <c r="K17" s="88">
        <f>LOOKUP(2,1/(('0505 4度C'!$A:$A="新豐8線")*('0505 4度C'!$T:$T&lt;&gt;"")),'0505 4度C'!$T:$T)</f>
        <v>0.71111111111111092</v>
      </c>
      <c r="L17" s="89">
        <f>LOOKUP(2,1/(('0505 4度C'!$A:$A="新豐9線")*('0505 4度C'!$T:$T&lt;&gt;"")),'0505 4度C'!$T:$T)</f>
        <v>0.75624999999999976</v>
      </c>
      <c r="M17" s="90">
        <f>LOOKUP(2,1/(('0505 4度C'!$A:$A="新豐4線")*('0505 4度C'!$T:$T&lt;&gt;"")),'0505 4度C'!$T:$T)</f>
        <v>0.76041666666666652</v>
      </c>
    </row>
    <row r="18" spans="2:13" ht="17.25" customHeight="1">
      <c r="B18" s="505" t="s">
        <v>1155</v>
      </c>
      <c r="C18" s="94" t="s">
        <v>1156</v>
      </c>
      <c r="D18" s="95">
        <f>SUMIFS('0505 4度C'!$Y:$Y,'0505 4度C'!$A:$A,"新豐6線",'0505 4度C'!$B:$B,"平均")</f>
        <v>0</v>
      </c>
      <c r="E18" s="96">
        <f>SUMIFS('0505 4度C'!$Y:$Y,'0505 4度C'!$A:$A,"新豐2線",'0505 4度C'!$B:$B,"平均")</f>
        <v>0</v>
      </c>
      <c r="F18" s="96">
        <f>SUMIFS('0505 4度C'!$Y:$Y,'0505 4度C'!$A:$A,"新豐5線",'0505 4度C'!$B:$B,"平均")</f>
        <v>0</v>
      </c>
      <c r="G18" s="96">
        <f>SUMIFS('0505 4度C'!$Y:$Y,'0505 4度C'!$A:$A,"新豐7線",'0505 4度C'!$B:$B,"平均")</f>
        <v>0</v>
      </c>
      <c r="H18" s="96">
        <f>SUMIFS('0505 4度C'!$Y:$Y,'0505 4度C'!$A:$A,"新豐3線",'0505 4度C'!$B:$B,"平均")</f>
        <v>0</v>
      </c>
      <c r="I18" s="96">
        <f>SUMIFS('0505 4度C'!$Y:$Y,'0505 4度C'!$A:$A,"新豐1線",'0505 4度C'!$B:$B,"平均")</f>
        <v>0</v>
      </c>
      <c r="J18" s="97">
        <f>SUMIFS('0505 4度C'!$Y:$Y,'0505 4度C'!$A:$A,"新豐10線",'0505 4度C'!$B:$B,"平均")</f>
        <v>0</v>
      </c>
      <c r="K18" s="98">
        <f>SUMIFS('0505 4度C'!$Y:$Y,'0505 4度C'!$A:$A,"新豐8線",'0505 4度C'!$B:$B,"平均")</f>
        <v>0</v>
      </c>
      <c r="L18" s="96">
        <f>SUMIFS('0505 4度C'!$Y:$Y,'0505 4度C'!$A:$A,"新豐9線",'0505 4度C'!$B:$B,"平均")</f>
        <v>0</v>
      </c>
      <c r="M18" s="97">
        <f>SUMIFS('0505 4度C'!$Y:$Y,'0505 4度C'!$A:$A,"新豐4線",'0505 4度C'!$B:$B,"平均")</f>
        <v>0</v>
      </c>
    </row>
    <row r="19" spans="2:13" ht="17.25" customHeight="1">
      <c r="B19" s="506"/>
      <c r="C19" s="94" t="s">
        <v>1157</v>
      </c>
      <c r="D19" s="95">
        <f>SUMIFS('0505 4度C'!$Z:$Z,'0505 4度C'!$A:$A,"新豐6線",'0505 4度C'!$B:$B,"平均")</f>
        <v>0</v>
      </c>
      <c r="E19" s="96">
        <f>SUMIFS('0505 4度C'!$Z:$Z,'0505 4度C'!$A:$A,"新豐2線",'0505 4度C'!$B:$B,"平均")</f>
        <v>0</v>
      </c>
      <c r="F19" s="96">
        <f>SUMIFS('0505 4度C'!$Z:$Z,'0505 4度C'!$A:$A,"新豐5線",'0505 4度C'!$B:$B,"平均")</f>
        <v>0</v>
      </c>
      <c r="G19" s="96">
        <f>SUMIFS('0505 4度C'!$Z:$Z,'0505 4度C'!$A:$A,"新豐7線",'0505 4度C'!$B:$B,"平均")</f>
        <v>0</v>
      </c>
      <c r="H19" s="96">
        <f>SUMIFS('0505 4度C'!$Z:$Z,'0505 4度C'!$A:$A,"新豐3線",'0505 4度C'!$B:$B,"平均")</f>
        <v>0</v>
      </c>
      <c r="I19" s="96">
        <f>SUMIFS('0505 4度C'!$Z:$Z,'0505 4度C'!$A:$A,"新豐1線",'0505 4度C'!$B:$B,"平均")</f>
        <v>0</v>
      </c>
      <c r="J19" s="97">
        <f>SUMIFS('0505 4度C'!$Z:$Z,'0505 4度C'!$A:$A,"新豐10線",'0505 4度C'!$B:$B,"平均")</f>
        <v>0</v>
      </c>
      <c r="K19" s="98">
        <f>SUMIFS('0505 4度C'!$Z:$Z,'0505 4度C'!$A:$A,"新豐8線",'0505 4度C'!$B:$B,"平均")</f>
        <v>0</v>
      </c>
      <c r="L19" s="96">
        <f>SUMIFS('0505 4度C'!$Z:$Z,'0505 4度C'!$A:$A,"新豐9線",'0505 4度C'!$B:$B,"平均")</f>
        <v>0</v>
      </c>
      <c r="M19" s="97">
        <f>SUMIFS('0505 4度C'!$Z:$Z,'0505 4度C'!$A:$A,"新豐4線",'0505 4度C'!$B:$B,"平均")</f>
        <v>0</v>
      </c>
    </row>
    <row r="20" spans="2:13" ht="17.25" customHeight="1">
      <c r="B20" s="505" t="s">
        <v>1158</v>
      </c>
      <c r="C20" s="94" t="s">
        <v>1156</v>
      </c>
      <c r="D20" s="95">
        <f>SUMIFS('0505 4度C'!$AC:$AC,'0505 4度C'!$A:$A,"新豐6線",'0505 4度C'!$B:$B,"平均")</f>
        <v>5</v>
      </c>
      <c r="E20" s="96">
        <f>SUMIFS('0505 4度C'!$AC:$AC,'0505 4度C'!$A:$A,"新豐2線",'0505 4度C'!$B:$B,"平均")</f>
        <v>3</v>
      </c>
      <c r="F20" s="96">
        <f>SUMIFS('0505 4度C'!$AC:$AC,'0505 4度C'!$A:$A,"新豐5線",'0505 4度C'!$B:$B,"平均")</f>
        <v>5</v>
      </c>
      <c r="G20" s="96">
        <f>SUMIFS('0505 4度C'!$AC:$AC,'0505 4度C'!$A:$A,"新豐7線",'0505 4度C'!$B:$B,"平均")</f>
        <v>6</v>
      </c>
      <c r="H20" s="96">
        <f>SUMIFS('0505 4度C'!$AC:$AC,'0505 4度C'!$A:$A,"新豐3線",'0505 4度C'!$B:$B,"平均")</f>
        <v>4</v>
      </c>
      <c r="I20" s="96">
        <f>SUMIFS('0505 4度C'!$AC:$AC,'0505 4度C'!$A:$A,"新豐1線",'0505 4度C'!$B:$B,"平均")</f>
        <v>7</v>
      </c>
      <c r="J20" s="97">
        <f>SUMIFS('0505 4度C'!$AC:$AC,'0505 4度C'!$A:$A,"新豐10線",'0505 4度C'!$B:$B,"平均")</f>
        <v>6</v>
      </c>
      <c r="K20" s="98">
        <f>SUMIFS('0505 4度C'!$AC:$AC,'0505 4度C'!$A:$A,"新豐8線",'0505 4度C'!$B:$B,"平均")</f>
        <v>7</v>
      </c>
      <c r="L20" s="96">
        <f>SUMIFS('0505 4度C'!$AC:$AC,'0505 4度C'!$A:$A,"新豐9線",'0505 4度C'!$B:$B,"平均")</f>
        <v>7</v>
      </c>
      <c r="M20" s="97">
        <f>SUMIFS('0505 4度C'!$AC:$AC,'0505 4度C'!$A:$A,"新豐4線",'0505 4度C'!$B:$B,"平均")</f>
        <v>8</v>
      </c>
    </row>
    <row r="21" spans="2:13" ht="17.25" customHeight="1">
      <c r="B21" s="506"/>
      <c r="C21" s="94" t="s">
        <v>1159</v>
      </c>
      <c r="D21" s="95">
        <f>SUMIFS('0505 4度C'!$AD:$AD,'0505 4度C'!$A:$A,"新豐6線",'0505 4度C'!$B:$B,"平均")</f>
        <v>0</v>
      </c>
      <c r="E21" s="96">
        <f>SUMIFS('0505 4度C'!$AD:$AD,'0505 4度C'!$A:$A,"新豐2線",'0505 4度C'!$B:$B,"平均")</f>
        <v>0</v>
      </c>
      <c r="F21" s="96">
        <f>SUMIFS('0505 4度C'!$AD:$AD,'0505 4度C'!$A:$A,"新豐5線",'0505 4度C'!$B:$B,"平均")</f>
        <v>0</v>
      </c>
      <c r="G21" s="96">
        <f>SUMIFS('0505 4度C'!$AD:$AD,'0505 4度C'!$A:$A,"新豐7線",'0505 4度C'!$B:$B,"平均")</f>
        <v>0</v>
      </c>
      <c r="H21" s="96">
        <f>SUMIFS('0505 4度C'!$AD:$AD,'0505 4度C'!$A:$A,"新豐3線",'0505 4度C'!$B:$B,"平均")</f>
        <v>0</v>
      </c>
      <c r="I21" s="96">
        <f>SUMIFS('0505 4度C'!$AD:$AD,'0505 4度C'!$A:$A,"新豐1線",'0505 4度C'!$B:$B,"平均")</f>
        <v>0</v>
      </c>
      <c r="J21" s="97">
        <f>SUMIFS('0505 4度C'!$AD:$AD,'0505 4度C'!$A:$A,"新豐10線",'0505 4度C'!$B:$B,"平均")</f>
        <v>0</v>
      </c>
      <c r="K21" s="98">
        <f>SUMIFS('0505 4度C'!$AD:$AD,'0505 4度C'!$A:$A,"新豐8線",'0505 4度C'!$B:$B,"平均")</f>
        <v>0</v>
      </c>
      <c r="L21" s="96">
        <f>SUMIFS('0505 4度C'!$AD:$AD,'0505 4度C'!$A:$A,"新豐9線",'0505 4度C'!$B:$B,"平均")</f>
        <v>0</v>
      </c>
      <c r="M21" s="97">
        <f>SUMIFS('0505 4度C'!$AD:$AD,'0505 4度C'!$A:$A,"新豐4線",'0505 4度C'!$B:$B,"平均")</f>
        <v>0</v>
      </c>
    </row>
    <row r="22" spans="2:13" ht="17.25" customHeight="1">
      <c r="B22" s="507" t="s">
        <v>1160</v>
      </c>
      <c r="C22" s="508"/>
      <c r="D22" s="99">
        <f>SUMIFS('0505 4度C'!$I:$I,'0505 4度C'!$A:$A,"新豐6線",'0505 4度C'!$B:$B,"平均")</f>
        <v>16.399999999999999</v>
      </c>
      <c r="E22" s="100">
        <f>SUMIFS('0505 4度C'!$I:$I,'0505 4度C'!$A:$A,"新豐2線",'0505 4度C'!$B:$B,"平均")</f>
        <v>17.666666666666668</v>
      </c>
      <c r="F22" s="100">
        <f>SUMIFS('0505 4度C'!$I:$I,'0505 4度C'!$A:$A,"新豐5線",'0505 4度C'!$B:$B,"平均")</f>
        <v>17.8</v>
      </c>
      <c r="G22" s="100">
        <f>SUMIFS('0505 4度C'!$I:$I,'0505 4度C'!$A:$A,"新豐7線",'0505 4度C'!$B:$B,"平均")</f>
        <v>15.833333333333334</v>
      </c>
      <c r="H22" s="100">
        <f>SUMIFS('0505 4度C'!$I:$I,'0505 4度C'!$A:$A,"新豐3線",'0505 4度C'!$B:$B,"平均")</f>
        <v>10.75</v>
      </c>
      <c r="I22" s="100">
        <f>SUMIFS('0505 4度C'!$I:$I,'0505 4度C'!$A:$A,"新豐1線",'0505 4度C'!$B:$B,"平均")</f>
        <v>19.285714285714285</v>
      </c>
      <c r="J22" s="101">
        <f>SUMIFS('0505 4度C'!$I:$I,'0505 4度C'!$A:$A,"新豐10線",'0505 4度C'!$B:$B,"平均")</f>
        <v>9.5</v>
      </c>
      <c r="K22" s="99">
        <f>SUMIFS('0505 4度C'!$I:$I,'0505 4度C'!$A:$A,"新豐8線",'0505 4度C'!$B:$B,"平均")</f>
        <v>17.142857142857142</v>
      </c>
      <c r="L22" s="100">
        <f>SUMIFS('0505 4度C'!$I:$I,'0505 4度C'!$A:$A,"新豐9線",'0505 4度C'!$B:$B,"平均")</f>
        <v>17</v>
      </c>
      <c r="M22" s="101">
        <f>SUMIFS('0505 4度C'!$I:$I,'0505 4度C'!$A:$A,"新豐4線",'0505 4度C'!$B:$B,"平均")</f>
        <v>16.625</v>
      </c>
    </row>
    <row r="23" spans="2:13" ht="17.25" customHeight="1">
      <c r="B23" s="507" t="s">
        <v>1161</v>
      </c>
      <c r="C23" s="508"/>
      <c r="D23" s="102" t="s">
        <v>177</v>
      </c>
      <c r="E23" s="103" t="s">
        <v>178</v>
      </c>
      <c r="F23" s="103" t="s">
        <v>1162</v>
      </c>
      <c r="G23" s="103" t="s">
        <v>1162</v>
      </c>
      <c r="H23" s="103" t="s">
        <v>180</v>
      </c>
      <c r="I23" s="103" t="s">
        <v>177</v>
      </c>
      <c r="J23" s="104" t="s">
        <v>180</v>
      </c>
      <c r="K23" s="102" t="s">
        <v>1163</v>
      </c>
      <c r="L23" s="103" t="s">
        <v>1164</v>
      </c>
      <c r="M23" s="104" t="s">
        <v>181</v>
      </c>
    </row>
    <row r="24" spans="2:13" ht="17.25" customHeight="1">
      <c r="B24" s="507" t="s">
        <v>1165</v>
      </c>
      <c r="C24" s="508"/>
      <c r="D24" s="102"/>
      <c r="E24" s="103"/>
      <c r="F24" s="103" t="s">
        <v>1166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1167</v>
      </c>
      <c r="C25" s="510"/>
      <c r="D25" s="105"/>
      <c r="E25" s="106" t="s">
        <v>186</v>
      </c>
      <c r="F25" s="503" t="s">
        <v>232</v>
      </c>
      <c r="G25" s="504"/>
      <c r="H25" s="106" t="s">
        <v>1168</v>
      </c>
      <c r="I25" s="106" t="s">
        <v>1169</v>
      </c>
      <c r="J25" s="107" t="s">
        <v>1168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32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3"/>
  <sheetViews>
    <sheetView zoomScale="80" zoomScaleNormal="80" workbookViewId="0">
      <pane ySplit="4" topLeftCell="A25" activePane="bottomLeft" state="frozen"/>
      <selection pane="bottomLeft" activeCell="B33" sqref="A28:B3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1170</v>
      </c>
      <c r="B1" s="1"/>
      <c r="C1" s="2" t="s">
        <v>1171</v>
      </c>
      <c r="D1" s="3">
        <f>SUM(F5:F72)</f>
        <v>196874</v>
      </c>
      <c r="E1" s="218" t="s">
        <v>1172</v>
      </c>
      <c r="F1" s="1">
        <f>SUM(G5:G72)</f>
        <v>6595671.0300000012</v>
      </c>
      <c r="G1" s="1" t="s">
        <v>1173</v>
      </c>
      <c r="H1" s="5">
        <f>L10+L14+L48+L56+L20+L63+L35+L43+L27+L72</f>
        <v>158.00357142857141</v>
      </c>
      <c r="I1" s="617" t="s">
        <v>1174</v>
      </c>
      <c r="J1" s="617"/>
      <c r="K1" s="617"/>
      <c r="L1" s="617" t="s">
        <v>1175</v>
      </c>
      <c r="M1" s="617"/>
      <c r="N1" s="617"/>
      <c r="O1" s="617" t="s">
        <v>1176</v>
      </c>
      <c r="P1" s="617"/>
      <c r="Q1" s="617"/>
      <c r="R1" s="617"/>
      <c r="S1" s="617" t="s">
        <v>1177</v>
      </c>
      <c r="T1" s="617"/>
      <c r="U1" s="617"/>
      <c r="V1" s="617"/>
      <c r="W1" s="617"/>
      <c r="X1" s="617"/>
      <c r="Y1" s="6" t="s">
        <v>1178</v>
      </c>
      <c r="Z1" s="7" t="s">
        <v>1179</v>
      </c>
      <c r="AA1" s="618" t="s">
        <v>1180</v>
      </c>
      <c r="AB1" s="618"/>
      <c r="AC1" s="121" t="s">
        <v>1178</v>
      </c>
      <c r="AD1" s="7" t="s">
        <v>1181</v>
      </c>
      <c r="AE1" s="617" t="s">
        <v>1182</v>
      </c>
      <c r="AF1" s="619"/>
      <c r="AG1" s="619"/>
    </row>
    <row r="2" spans="1:33" ht="26.25" customHeight="1">
      <c r="A2" s="37">
        <v>46147</v>
      </c>
      <c r="B2" s="38" t="s">
        <v>527</v>
      </c>
      <c r="C2" s="2" t="s">
        <v>1149</v>
      </c>
      <c r="D2" s="10">
        <f>AVERAGE(N10,N14,N48,N56,N20,N63,N27,N35,N43,N72)</f>
        <v>145.60479051730633</v>
      </c>
      <c r="E2" s="11" t="s">
        <v>14</v>
      </c>
      <c r="F2" s="12">
        <f>F1/D1</f>
        <v>33.501991273606478</v>
      </c>
      <c r="G2" s="1" t="s">
        <v>1183</v>
      </c>
      <c r="H2" s="229">
        <f>COUNT(H5:H72)</f>
        <v>11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SUM(Y10+Y14+Y20+Y27+Y35+Y43+Y48+Y56+Y63+Y72)</f>
        <v>0</v>
      </c>
      <c r="Z2" s="14">
        <f>SUM(Z10+Z14+Z20+Z27+Z35+Z43+Z48+Z56+Z63+Z72)</f>
        <v>0</v>
      </c>
      <c r="AA2" s="618"/>
      <c r="AB2" s="618"/>
      <c r="AC2" s="122">
        <v>58</v>
      </c>
      <c r="AD2" s="14">
        <f>SUM(AD10+AD14+AD20+AD27+AD35+AD43+AD48+AD56+AD63+AD72)</f>
        <v>0</v>
      </c>
      <c r="AE2" s="619"/>
      <c r="AF2" s="619"/>
      <c r="AG2" s="619"/>
    </row>
    <row r="3" spans="1:33" ht="40.5" customHeight="1">
      <c r="A3" s="575" t="s">
        <v>1184</v>
      </c>
      <c r="B3" s="575" t="s">
        <v>1185</v>
      </c>
      <c r="C3" s="575" t="s">
        <v>1186</v>
      </c>
      <c r="D3" s="575"/>
      <c r="E3" s="615" t="s">
        <v>1187</v>
      </c>
      <c r="F3" s="575" t="s">
        <v>1188</v>
      </c>
      <c r="G3" s="615" t="s">
        <v>1189</v>
      </c>
      <c r="H3" s="608" t="s">
        <v>1190</v>
      </c>
      <c r="I3" s="606" t="s">
        <v>1191</v>
      </c>
      <c r="J3" s="603" t="s">
        <v>1192</v>
      </c>
      <c r="K3" s="613" t="s">
        <v>1149</v>
      </c>
      <c r="L3" s="606" t="s">
        <v>1191</v>
      </c>
      <c r="M3" s="603" t="s">
        <v>1192</v>
      </c>
      <c r="N3" s="613" t="s">
        <v>1149</v>
      </c>
      <c r="O3" s="606" t="s">
        <v>1191</v>
      </c>
      <c r="P3" s="613" t="s">
        <v>1149</v>
      </c>
      <c r="Q3" s="604" t="s">
        <v>1193</v>
      </c>
      <c r="R3" s="582" t="s">
        <v>1194</v>
      </c>
      <c r="S3" s="614" t="s">
        <v>28</v>
      </c>
      <c r="T3" s="614"/>
      <c r="U3" s="608" t="s">
        <v>29</v>
      </c>
      <c r="V3" s="608" t="s">
        <v>1195</v>
      </c>
      <c r="W3" s="575" t="s">
        <v>1196</v>
      </c>
      <c r="X3" s="575"/>
      <c r="Y3" s="609" t="s">
        <v>1197</v>
      </c>
      <c r="Z3" s="572"/>
      <c r="AA3" s="610" t="s">
        <v>1198</v>
      </c>
      <c r="AB3" s="611"/>
      <c r="AC3" s="609" t="s">
        <v>1199</v>
      </c>
      <c r="AD3" s="572"/>
      <c r="AE3" s="603" t="s">
        <v>1200</v>
      </c>
      <c r="AF3" s="604" t="s">
        <v>1193</v>
      </c>
      <c r="AG3" s="582" t="s">
        <v>1201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228" t="s">
        <v>36</v>
      </c>
      <c r="T4" s="228" t="s">
        <v>37</v>
      </c>
      <c r="U4" s="608"/>
      <c r="V4" s="608"/>
      <c r="W4" s="218" t="s">
        <v>1202</v>
      </c>
      <c r="X4" s="218" t="s">
        <v>1203</v>
      </c>
      <c r="Y4" s="220" t="s">
        <v>1204</v>
      </c>
      <c r="Z4" s="220" t="s">
        <v>1205</v>
      </c>
      <c r="AA4" s="612"/>
      <c r="AB4" s="611"/>
      <c r="AC4" s="220" t="s">
        <v>1206</v>
      </c>
      <c r="AD4" s="220" t="s">
        <v>1207</v>
      </c>
      <c r="AE4" s="603"/>
      <c r="AF4" s="604"/>
      <c r="AG4" s="582"/>
    </row>
    <row r="5" spans="1:33">
      <c r="A5" s="605" t="s">
        <v>1208</v>
      </c>
      <c r="B5" s="39" t="s">
        <v>74</v>
      </c>
      <c r="C5" s="607" t="s">
        <v>75</v>
      </c>
      <c r="D5" s="607"/>
      <c r="E5" s="39">
        <v>50.67</v>
      </c>
      <c r="F5" s="228">
        <v>1508</v>
      </c>
      <c r="G5" s="218">
        <f t="shared" ref="G5:G9" si="0">E5*F5</f>
        <v>76410.36</v>
      </c>
      <c r="H5" s="48" t="s">
        <v>126</v>
      </c>
      <c r="I5" s="226">
        <v>17</v>
      </c>
      <c r="J5" s="43">
        <v>2000</v>
      </c>
      <c r="K5" s="18">
        <f t="shared" ref="K5:K68" si="1">J5/I5</f>
        <v>117.64705882352941</v>
      </c>
      <c r="L5" s="226">
        <v>17</v>
      </c>
      <c r="M5" s="19">
        <f t="shared" ref="M5:M9" si="2">F5/V5*60</f>
        <v>1925.1063829787238</v>
      </c>
      <c r="N5" s="18">
        <f t="shared" ref="N5:N68" si="3">M5/L5</f>
        <v>113.24155193992493</v>
      </c>
      <c r="O5" s="20">
        <f t="shared" ref="O5:O68" si="4">L5-I5</f>
        <v>0</v>
      </c>
      <c r="P5" s="21">
        <f t="shared" ref="P5:P68" si="5">N5-K5</f>
        <v>-4.405506883604474</v>
      </c>
      <c r="Q5" s="221">
        <f t="shared" ref="Q5:Q68" si="6">N5/K5</f>
        <v>0.96255319148936191</v>
      </c>
      <c r="R5" s="573">
        <f>Q10</f>
        <v>0.96141792767414125</v>
      </c>
      <c r="S5" s="49">
        <v>0.70833333333333337</v>
      </c>
      <c r="T5" s="49">
        <v>0.74097222222222225</v>
      </c>
      <c r="U5" s="218"/>
      <c r="V5" s="227">
        <f t="shared" ref="V5:V9" si="7">(T5-S5)*24*60</f>
        <v>46.999999999999993</v>
      </c>
      <c r="W5" s="25"/>
      <c r="X5" s="26"/>
      <c r="Y5" s="26"/>
      <c r="Z5" s="26"/>
      <c r="AA5" s="575"/>
      <c r="AB5" s="575"/>
      <c r="AC5" s="50">
        <v>5</v>
      </c>
      <c r="AD5" s="27"/>
      <c r="AE5" s="20">
        <f t="shared" ref="AE5:AE55" si="8">M5-J5</f>
        <v>-74.893617021276214</v>
      </c>
      <c r="AF5" s="221">
        <f t="shared" ref="AF5:AF68" si="9">M5/J5</f>
        <v>0.96255319148936191</v>
      </c>
      <c r="AG5" s="573">
        <f>AF10</f>
        <v>0.96141792767414136</v>
      </c>
    </row>
    <row r="6" spans="1:33">
      <c r="A6" s="606" t="s">
        <v>1208</v>
      </c>
      <c r="B6" s="39" t="s">
        <v>74</v>
      </c>
      <c r="C6" s="607" t="s">
        <v>76</v>
      </c>
      <c r="D6" s="607"/>
      <c r="E6" s="39">
        <v>54.09</v>
      </c>
      <c r="F6" s="228">
        <v>1212</v>
      </c>
      <c r="G6" s="218">
        <f t="shared" si="0"/>
        <v>65557.08</v>
      </c>
      <c r="H6" s="48" t="s">
        <v>126</v>
      </c>
      <c r="I6" s="226">
        <v>19</v>
      </c>
      <c r="J6" s="43">
        <v>2000</v>
      </c>
      <c r="K6" s="18">
        <f t="shared" si="1"/>
        <v>105.26315789473684</v>
      </c>
      <c r="L6" s="226">
        <v>19</v>
      </c>
      <c r="M6" s="19">
        <f t="shared" si="2"/>
        <v>1913.6842105263142</v>
      </c>
      <c r="N6" s="18">
        <f t="shared" si="3"/>
        <v>100.72022160664812</v>
      </c>
      <c r="O6" s="20">
        <f t="shared" si="4"/>
        <v>0</v>
      </c>
      <c r="P6" s="21">
        <f t="shared" si="5"/>
        <v>-4.5429362880887112</v>
      </c>
      <c r="Q6" s="221">
        <f t="shared" si="6"/>
        <v>0.95684210526315727</v>
      </c>
      <c r="R6" s="573"/>
      <c r="S6" s="49">
        <v>0.74652777777777779</v>
      </c>
      <c r="T6" s="49">
        <v>0.7729166666666667</v>
      </c>
      <c r="U6" s="218">
        <f t="shared" ref="U6:U9" si="10">IF(S6=TIME(17,0,0),"",(S6-T5)*24*60)</f>
        <v>7.9999999999999716</v>
      </c>
      <c r="V6" s="227">
        <f t="shared" si="7"/>
        <v>38.000000000000028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-86.315789473685754</v>
      </c>
      <c r="AF6" s="221">
        <f t="shared" si="9"/>
        <v>0.95684210526315716</v>
      </c>
      <c r="AG6" s="573"/>
    </row>
    <row r="7" spans="1:33">
      <c r="A7" s="606" t="s">
        <v>1208</v>
      </c>
      <c r="B7" s="39" t="s">
        <v>74</v>
      </c>
      <c r="C7" s="598" t="s">
        <v>77</v>
      </c>
      <c r="D7" s="599"/>
      <c r="E7" s="39">
        <v>50.67</v>
      </c>
      <c r="F7" s="228">
        <v>800</v>
      </c>
      <c r="G7" s="218">
        <f t="shared" si="0"/>
        <v>40536</v>
      </c>
      <c r="H7" s="48">
        <v>2</v>
      </c>
      <c r="I7" s="226">
        <v>15</v>
      </c>
      <c r="J7" s="43">
        <v>2000</v>
      </c>
      <c r="K7" s="18">
        <f t="shared" si="1"/>
        <v>133.33333333333334</v>
      </c>
      <c r="L7" s="226">
        <v>15</v>
      </c>
      <c r="M7" s="19">
        <f t="shared" si="2"/>
        <v>1919.9999999999945</v>
      </c>
      <c r="N7" s="18">
        <f t="shared" si="3"/>
        <v>127.99999999999963</v>
      </c>
      <c r="O7" s="20">
        <f t="shared" si="4"/>
        <v>0</v>
      </c>
      <c r="P7" s="21">
        <f t="shared" si="5"/>
        <v>-5.3333333333337123</v>
      </c>
      <c r="Q7" s="221">
        <f t="shared" si="6"/>
        <v>0.95999999999999719</v>
      </c>
      <c r="R7" s="573"/>
      <c r="S7" s="49">
        <v>0.77847222222222223</v>
      </c>
      <c r="T7" s="49">
        <v>0.79583333333333339</v>
      </c>
      <c r="U7" s="218">
        <f t="shared" si="10"/>
        <v>7.9999999999999716</v>
      </c>
      <c r="V7" s="227">
        <f t="shared" si="7"/>
        <v>25.000000000000071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-80.000000000005457</v>
      </c>
      <c r="AF7" s="221">
        <f t="shared" si="9"/>
        <v>0.9599999999999973</v>
      </c>
      <c r="AG7" s="573"/>
    </row>
    <row r="8" spans="1:33">
      <c r="A8" s="606" t="s">
        <v>1208</v>
      </c>
      <c r="B8" s="39" t="s">
        <v>74</v>
      </c>
      <c r="C8" s="598" t="s">
        <v>78</v>
      </c>
      <c r="D8" s="599"/>
      <c r="E8" s="39">
        <v>52.86</v>
      </c>
      <c r="F8" s="228">
        <v>1946</v>
      </c>
      <c r="G8" s="218">
        <f t="shared" si="0"/>
        <v>102865.56</v>
      </c>
      <c r="H8" s="48" t="s">
        <v>126</v>
      </c>
      <c r="I8" s="226">
        <v>16</v>
      </c>
      <c r="J8" s="43">
        <v>2000</v>
      </c>
      <c r="K8" s="18">
        <f t="shared" si="1"/>
        <v>125</v>
      </c>
      <c r="L8" s="226">
        <v>16</v>
      </c>
      <c r="M8" s="19">
        <f t="shared" si="2"/>
        <v>1914.0983606557395</v>
      </c>
      <c r="N8" s="18">
        <f t="shared" si="3"/>
        <v>119.63114754098372</v>
      </c>
      <c r="O8" s="20">
        <f t="shared" si="4"/>
        <v>0</v>
      </c>
      <c r="P8" s="21">
        <f t="shared" si="5"/>
        <v>-5.3688524590162814</v>
      </c>
      <c r="Q8" s="221">
        <f t="shared" si="6"/>
        <v>0.95704918032786979</v>
      </c>
      <c r="R8" s="573"/>
      <c r="S8" s="49">
        <v>0.80069444444444449</v>
      </c>
      <c r="T8" s="49">
        <v>0.84305555555555556</v>
      </c>
      <c r="U8" s="218">
        <f t="shared" si="10"/>
        <v>6.9999999999999751</v>
      </c>
      <c r="V8" s="227">
        <f t="shared" si="7"/>
        <v>60.999999999999943</v>
      </c>
      <c r="W8" s="25">
        <f>T8</f>
        <v>0.84305555555555556</v>
      </c>
      <c r="X8" s="25">
        <f>S9</f>
        <v>0.88124999999999998</v>
      </c>
      <c r="Y8" s="31"/>
      <c r="Z8" s="31"/>
      <c r="AA8" s="568"/>
      <c r="AB8" s="569"/>
      <c r="AC8" s="50"/>
      <c r="AD8" s="29"/>
      <c r="AE8" s="20">
        <f t="shared" si="8"/>
        <v>-85.901639344260502</v>
      </c>
      <c r="AF8" s="221">
        <f t="shared" si="9"/>
        <v>0.95704918032786979</v>
      </c>
      <c r="AG8" s="573"/>
    </row>
    <row r="9" spans="1:33">
      <c r="A9" s="606" t="s">
        <v>1209</v>
      </c>
      <c r="B9" s="39" t="s">
        <v>74</v>
      </c>
      <c r="C9" s="598" t="s">
        <v>77</v>
      </c>
      <c r="D9" s="599"/>
      <c r="E9" s="39">
        <v>50.67</v>
      </c>
      <c r="F9" s="228">
        <v>1003</v>
      </c>
      <c r="G9" s="218">
        <f t="shared" si="0"/>
        <v>50822.01</v>
      </c>
      <c r="H9" s="48" t="s">
        <v>126</v>
      </c>
      <c r="I9" s="226">
        <v>15</v>
      </c>
      <c r="J9" s="43">
        <v>2000</v>
      </c>
      <c r="K9" s="18">
        <f t="shared" si="1"/>
        <v>133.33333333333334</v>
      </c>
      <c r="L9" s="226">
        <v>15</v>
      </c>
      <c r="M9" s="19">
        <f t="shared" si="2"/>
        <v>1941.2903225806419</v>
      </c>
      <c r="N9" s="18">
        <f t="shared" si="3"/>
        <v>129.41935483870947</v>
      </c>
      <c r="O9" s="20">
        <f t="shared" si="4"/>
        <v>0</v>
      </c>
      <c r="P9" s="21">
        <f t="shared" si="5"/>
        <v>-3.9139784946238763</v>
      </c>
      <c r="Q9" s="221">
        <f t="shared" si="6"/>
        <v>0.97064516129032097</v>
      </c>
      <c r="R9" s="573"/>
      <c r="S9" s="49">
        <v>0.88124999999999998</v>
      </c>
      <c r="T9" s="49">
        <v>0.90277777777777779</v>
      </c>
      <c r="U9" s="218">
        <f t="shared" si="10"/>
        <v>54.999999999999964</v>
      </c>
      <c r="V9" s="227">
        <f t="shared" si="7"/>
        <v>31.00000000000005</v>
      </c>
      <c r="W9" s="25"/>
      <c r="X9" s="25"/>
      <c r="Y9" s="28"/>
      <c r="Z9" s="28"/>
      <c r="AA9" s="568"/>
      <c r="AB9" s="569"/>
      <c r="AC9" s="50"/>
      <c r="AD9" s="29"/>
      <c r="AE9" s="20">
        <f t="shared" si="8"/>
        <v>-58.709677419358059</v>
      </c>
      <c r="AF9" s="221">
        <f t="shared" si="9"/>
        <v>0.97064516129032097</v>
      </c>
      <c r="AG9" s="573"/>
    </row>
    <row r="10" spans="1:33">
      <c r="A10" s="606" t="s">
        <v>1209</v>
      </c>
      <c r="B10" s="39" t="s">
        <v>1210</v>
      </c>
      <c r="C10" s="576"/>
      <c r="D10" s="576"/>
      <c r="E10" s="225"/>
      <c r="F10" s="42"/>
      <c r="G10" s="18"/>
      <c r="H10" s="228"/>
      <c r="I10" s="32">
        <v>16.399999999999999</v>
      </c>
      <c r="J10" s="43">
        <v>2000</v>
      </c>
      <c r="K10" s="18">
        <f t="shared" si="1"/>
        <v>121.95121951219514</v>
      </c>
      <c r="L10" s="32">
        <v>16.399999999999999</v>
      </c>
      <c r="M10" s="19">
        <f>AVERAGE(M5:M9)</f>
        <v>1922.8358553482826</v>
      </c>
      <c r="N10" s="18">
        <f t="shared" si="3"/>
        <v>117.24608874074895</v>
      </c>
      <c r="O10" s="20">
        <f t="shared" si="4"/>
        <v>0</v>
      </c>
      <c r="P10" s="21">
        <f t="shared" si="5"/>
        <v>-4.7051307714461927</v>
      </c>
      <c r="Q10" s="221">
        <f t="shared" si="6"/>
        <v>0.96141792767414125</v>
      </c>
      <c r="R10" s="573"/>
      <c r="S10" s="49"/>
      <c r="T10" s="49"/>
      <c r="U10" s="218"/>
      <c r="V10" s="227"/>
      <c r="W10" s="18"/>
      <c r="X10" s="18"/>
      <c r="Y10" s="33">
        <f>SUM(Y5:Y9)</f>
        <v>0</v>
      </c>
      <c r="Z10" s="33">
        <f>SUM(Z5:Z9)</f>
        <v>0</v>
      </c>
      <c r="AA10" s="572"/>
      <c r="AB10" s="572"/>
      <c r="AC10" s="33">
        <v>5</v>
      </c>
      <c r="AD10" s="33">
        <f>SUM(AD5:AD9)</f>
        <v>0</v>
      </c>
      <c r="AE10" s="20">
        <f t="shared" si="8"/>
        <v>-77.164144651717379</v>
      </c>
      <c r="AF10" s="221">
        <f t="shared" si="9"/>
        <v>0.96141792767414136</v>
      </c>
      <c r="AG10" s="573"/>
    </row>
    <row r="11" spans="1:33" ht="15.75" customHeight="1">
      <c r="A11" s="602" t="s">
        <v>1211</v>
      </c>
      <c r="B11" s="39" t="s">
        <v>79</v>
      </c>
      <c r="C11" s="598" t="s">
        <v>80</v>
      </c>
      <c r="D11" s="599"/>
      <c r="E11" s="39">
        <v>39.619999999999997</v>
      </c>
      <c r="F11" s="228">
        <v>5320</v>
      </c>
      <c r="G11" s="218">
        <f t="shared" ref="G11:G13" si="11">E11*F11</f>
        <v>210778.4</v>
      </c>
      <c r="H11" s="48" t="s">
        <v>126</v>
      </c>
      <c r="I11" s="226">
        <v>19</v>
      </c>
      <c r="J11" s="43">
        <v>1500</v>
      </c>
      <c r="K11" s="18">
        <f t="shared" si="1"/>
        <v>78.94736842105263</v>
      </c>
      <c r="L11" s="226">
        <v>19</v>
      </c>
      <c r="M11" s="19">
        <f t="shared" ref="M11:M13" si="12">F11/V11*60</f>
        <v>1431.3901345291474</v>
      </c>
      <c r="N11" s="18">
        <f t="shared" si="3"/>
        <v>75.336322869955126</v>
      </c>
      <c r="O11" s="20">
        <f t="shared" si="4"/>
        <v>0</v>
      </c>
      <c r="P11" s="21">
        <f t="shared" si="5"/>
        <v>-3.6110455510975044</v>
      </c>
      <c r="Q11" s="221">
        <f t="shared" si="6"/>
        <v>0.95426008968609832</v>
      </c>
      <c r="R11" s="573">
        <f>Q14</f>
        <v>0.95580446925463369</v>
      </c>
      <c r="S11" s="49">
        <v>0.20833333333333334</v>
      </c>
      <c r="T11" s="49">
        <v>0.36319444444444449</v>
      </c>
      <c r="U11" s="218"/>
      <c r="V11" s="227">
        <f t="shared" ref="V11:V13" si="13">(T11-S11)*24*60</f>
        <v>223.00000000000006</v>
      </c>
      <c r="W11" s="25"/>
      <c r="X11" s="25"/>
      <c r="Y11" s="25"/>
      <c r="Z11" s="25"/>
      <c r="AA11" s="575"/>
      <c r="AB11" s="575"/>
      <c r="AC11" s="50">
        <v>3</v>
      </c>
      <c r="AD11" s="27"/>
      <c r="AE11" s="20">
        <f t="shared" si="8"/>
        <v>-68.609865470852583</v>
      </c>
      <c r="AF11" s="221">
        <f t="shared" si="9"/>
        <v>0.95426008968609832</v>
      </c>
      <c r="AG11" s="573">
        <f>AF14</f>
        <v>0.9558044692546338</v>
      </c>
    </row>
    <row r="12" spans="1:33" ht="15.75" customHeight="1">
      <c r="A12" s="602" t="s">
        <v>1211</v>
      </c>
      <c r="B12" s="39" t="s">
        <v>79</v>
      </c>
      <c r="C12" s="598" t="s">
        <v>81</v>
      </c>
      <c r="D12" s="599"/>
      <c r="E12" s="39">
        <v>39.799999999999997</v>
      </c>
      <c r="F12" s="228">
        <v>3300</v>
      </c>
      <c r="G12" s="218">
        <f t="shared" si="11"/>
        <v>131340</v>
      </c>
      <c r="H12" s="48">
        <v>2</v>
      </c>
      <c r="I12" s="226">
        <v>17</v>
      </c>
      <c r="J12" s="43">
        <v>1500</v>
      </c>
      <c r="K12" s="18">
        <f t="shared" si="1"/>
        <v>88.235294117647058</v>
      </c>
      <c r="L12" s="226">
        <v>17</v>
      </c>
      <c r="M12" s="19">
        <f t="shared" si="12"/>
        <v>1434.7826086956522</v>
      </c>
      <c r="N12" s="18">
        <f t="shared" si="3"/>
        <v>84.398976982097196</v>
      </c>
      <c r="O12" s="20">
        <f t="shared" si="4"/>
        <v>0</v>
      </c>
      <c r="P12" s="21">
        <f t="shared" si="5"/>
        <v>-3.8363171355498622</v>
      </c>
      <c r="Q12" s="221">
        <f t="shared" si="6"/>
        <v>0.95652173913043492</v>
      </c>
      <c r="R12" s="573"/>
      <c r="S12" s="49">
        <v>0.3666666666666667</v>
      </c>
      <c r="T12" s="49">
        <v>0.46250000000000002</v>
      </c>
      <c r="U12" s="218">
        <f t="shared" ref="U12:U13" si="14">IF(S12=TIME(17,0,0),"",(S12-T11)*24*60)</f>
        <v>4.9999999999999822</v>
      </c>
      <c r="V12" s="227">
        <f t="shared" si="13"/>
        <v>138</v>
      </c>
      <c r="W12" s="25">
        <f>T12</f>
        <v>0.46250000000000002</v>
      </c>
      <c r="X12" s="25">
        <f>S13</f>
        <v>0.50277777777777777</v>
      </c>
      <c r="Y12" s="25"/>
      <c r="Z12" s="25"/>
      <c r="AA12" s="575"/>
      <c r="AB12" s="575"/>
      <c r="AC12" s="50"/>
      <c r="AD12" s="27"/>
      <c r="AE12" s="20">
        <f t="shared" si="8"/>
        <v>-65.217391304347757</v>
      </c>
      <c r="AF12" s="221">
        <f t="shared" si="9"/>
        <v>0.95652173913043481</v>
      </c>
      <c r="AG12" s="573"/>
    </row>
    <row r="13" spans="1:33" ht="15.75" customHeight="1">
      <c r="A13" s="602" t="s">
        <v>1211</v>
      </c>
      <c r="B13" s="39" t="s">
        <v>79</v>
      </c>
      <c r="C13" s="598" t="s">
        <v>81</v>
      </c>
      <c r="D13" s="599"/>
      <c r="E13" s="39">
        <v>39.799999999999997</v>
      </c>
      <c r="F13" s="228">
        <v>4544</v>
      </c>
      <c r="G13" s="218">
        <f t="shared" si="11"/>
        <v>180851.19999999998</v>
      </c>
      <c r="H13" s="48" t="s">
        <v>126</v>
      </c>
      <c r="I13" s="226">
        <v>17</v>
      </c>
      <c r="J13" s="43">
        <v>1500</v>
      </c>
      <c r="K13" s="18">
        <f t="shared" si="1"/>
        <v>88.235294117647058</v>
      </c>
      <c r="L13" s="226">
        <v>17</v>
      </c>
      <c r="M13" s="19">
        <f t="shared" si="12"/>
        <v>1434.9473684210529</v>
      </c>
      <c r="N13" s="18">
        <f t="shared" si="3"/>
        <v>84.408668730650177</v>
      </c>
      <c r="O13" s="20">
        <f t="shared" si="4"/>
        <v>0</v>
      </c>
      <c r="P13" s="21">
        <f t="shared" si="5"/>
        <v>-3.8266253869968807</v>
      </c>
      <c r="Q13" s="221">
        <f t="shared" si="6"/>
        <v>0.95663157894736872</v>
      </c>
      <c r="R13" s="573"/>
      <c r="S13" s="49">
        <v>0.50277777777777777</v>
      </c>
      <c r="T13" s="49">
        <v>0.63472222222222219</v>
      </c>
      <c r="U13" s="218">
        <f t="shared" si="14"/>
        <v>57.999999999999957</v>
      </c>
      <c r="V13" s="227">
        <f t="shared" si="13"/>
        <v>189.99999999999997</v>
      </c>
      <c r="W13" s="25"/>
      <c r="X13" s="25"/>
      <c r="Y13" s="25"/>
      <c r="Z13" s="25"/>
      <c r="AA13" s="575"/>
      <c r="AB13" s="575"/>
      <c r="AC13" s="50"/>
      <c r="AD13" s="27"/>
      <c r="AE13" s="20">
        <f t="shared" si="8"/>
        <v>-65.052631578947057</v>
      </c>
      <c r="AF13" s="221">
        <f t="shared" si="9"/>
        <v>0.95663157894736861</v>
      </c>
      <c r="AG13" s="573"/>
    </row>
    <row r="14" spans="1:33" ht="16.5" customHeight="1">
      <c r="A14" s="602" t="s">
        <v>1211</v>
      </c>
      <c r="B14" s="39" t="s">
        <v>1210</v>
      </c>
      <c r="C14" s="576"/>
      <c r="D14" s="576"/>
      <c r="E14" s="225"/>
      <c r="F14" s="43"/>
      <c r="G14" s="19"/>
      <c r="H14" s="228"/>
      <c r="I14" s="32">
        <v>17.666666666666668</v>
      </c>
      <c r="J14" s="43">
        <v>1500</v>
      </c>
      <c r="K14" s="18">
        <f t="shared" si="1"/>
        <v>84.905660377358487</v>
      </c>
      <c r="L14" s="32">
        <v>17.666666666666668</v>
      </c>
      <c r="M14" s="19">
        <f>AVERAGE(M11:M13)</f>
        <v>1433.7067038819507</v>
      </c>
      <c r="N14" s="18">
        <f t="shared" si="3"/>
        <v>81.153209653695313</v>
      </c>
      <c r="O14" s="20">
        <f t="shared" si="4"/>
        <v>0</v>
      </c>
      <c r="P14" s="21">
        <f t="shared" si="5"/>
        <v>-3.7524507236631734</v>
      </c>
      <c r="Q14" s="221">
        <f t="shared" si="6"/>
        <v>0.95580446925463369</v>
      </c>
      <c r="R14" s="573"/>
      <c r="S14" s="49"/>
      <c r="T14" s="49"/>
      <c r="U14" s="18"/>
      <c r="V14" s="227"/>
      <c r="W14" s="18"/>
      <c r="X14" s="18"/>
      <c r="Y14" s="33">
        <f>SUM(Y11:Y13)</f>
        <v>0</v>
      </c>
      <c r="Z14" s="33">
        <f>SUM(Z11:Z13)</f>
        <v>0</v>
      </c>
      <c r="AA14" s="572"/>
      <c r="AB14" s="572"/>
      <c r="AC14" s="33">
        <v>3</v>
      </c>
      <c r="AD14" s="33">
        <f>SUM(AD11:AD13)</f>
        <v>0</v>
      </c>
      <c r="AE14" s="20">
        <f t="shared" si="8"/>
        <v>-66.293296118049284</v>
      </c>
      <c r="AF14" s="221">
        <f t="shared" si="9"/>
        <v>0.9558044692546338</v>
      </c>
      <c r="AG14" s="573"/>
    </row>
    <row r="15" spans="1:33" ht="16.5" customHeight="1">
      <c r="A15" s="600" t="s">
        <v>1212</v>
      </c>
      <c r="B15" s="228" t="s">
        <v>82</v>
      </c>
      <c r="C15" s="594" t="s">
        <v>83</v>
      </c>
      <c r="D15" s="594"/>
      <c r="E15" s="39">
        <v>41</v>
      </c>
      <c r="F15" s="228">
        <v>2031</v>
      </c>
      <c r="G15" s="218">
        <f t="shared" ref="G15:G19" si="15">E15*F15</f>
        <v>83271</v>
      </c>
      <c r="H15" s="48" t="s">
        <v>126</v>
      </c>
      <c r="I15" s="226">
        <v>26</v>
      </c>
      <c r="J15" s="43">
        <v>1500</v>
      </c>
      <c r="K15" s="18">
        <f t="shared" si="1"/>
        <v>57.692307692307693</v>
      </c>
      <c r="L15" s="226">
        <v>26</v>
      </c>
      <c r="M15" s="19">
        <f t="shared" ref="M15:M19" si="16">F15/V15*60</f>
        <v>1433.64705882353</v>
      </c>
      <c r="N15" s="18">
        <f t="shared" si="3"/>
        <v>55.140271493212694</v>
      </c>
      <c r="O15" s="20">
        <f t="shared" si="4"/>
        <v>0</v>
      </c>
      <c r="P15" s="21">
        <f t="shared" si="5"/>
        <v>-2.5520361990949993</v>
      </c>
      <c r="Q15" s="221">
        <f t="shared" si="6"/>
        <v>0.95576470588235329</v>
      </c>
      <c r="R15" s="573">
        <f>Q20</f>
        <v>0.95737824710355046</v>
      </c>
      <c r="S15" s="49">
        <v>0.20833333333333334</v>
      </c>
      <c r="T15" s="49">
        <v>0.2673611111111111</v>
      </c>
      <c r="U15" s="218"/>
      <c r="V15" s="227">
        <f t="shared" ref="V15:V19" si="17">(T15-S15)*24*60</f>
        <v>84.999999999999972</v>
      </c>
      <c r="W15" s="30"/>
      <c r="X15" s="30"/>
      <c r="Y15" s="30"/>
      <c r="Z15" s="30"/>
      <c r="AA15" s="575"/>
      <c r="AB15" s="575"/>
      <c r="AC15" s="50">
        <v>5</v>
      </c>
      <c r="AD15" s="27"/>
      <c r="AE15" s="20">
        <f t="shared" si="8"/>
        <v>-66.35294117647004</v>
      </c>
      <c r="AF15" s="221">
        <f t="shared" si="9"/>
        <v>0.95576470588235329</v>
      </c>
      <c r="AG15" s="573">
        <f>AF20</f>
        <v>0.95737824710355035</v>
      </c>
    </row>
    <row r="16" spans="1:33" ht="16.5" customHeight="1">
      <c r="A16" s="601" t="s">
        <v>1213</v>
      </c>
      <c r="B16" s="228" t="s">
        <v>94</v>
      </c>
      <c r="C16" s="594" t="s">
        <v>529</v>
      </c>
      <c r="D16" s="594"/>
      <c r="E16" s="39">
        <v>26.18</v>
      </c>
      <c r="F16" s="228">
        <v>9963</v>
      </c>
      <c r="G16" s="218">
        <f t="shared" si="15"/>
        <v>260831.34</v>
      </c>
      <c r="H16" s="48" t="s">
        <v>126</v>
      </c>
      <c r="I16" s="226">
        <v>19</v>
      </c>
      <c r="J16" s="43">
        <v>2400</v>
      </c>
      <c r="K16" s="18">
        <f t="shared" si="1"/>
        <v>126.31578947368421</v>
      </c>
      <c r="L16" s="226">
        <v>19</v>
      </c>
      <c r="M16" s="19">
        <f t="shared" si="16"/>
        <v>2290.3448275862065</v>
      </c>
      <c r="N16" s="18">
        <f t="shared" si="3"/>
        <v>120.54446460980034</v>
      </c>
      <c r="O16" s="20">
        <f t="shared" si="4"/>
        <v>0</v>
      </c>
      <c r="P16" s="21">
        <f t="shared" si="5"/>
        <v>-5.7713248638838621</v>
      </c>
      <c r="Q16" s="221">
        <f t="shared" si="6"/>
        <v>0.95431034482758614</v>
      </c>
      <c r="R16" s="573"/>
      <c r="S16" s="49">
        <v>0.27083333333333331</v>
      </c>
      <c r="T16" s="49">
        <v>0.45208333333333328</v>
      </c>
      <c r="U16" s="218">
        <f t="shared" ref="U16:U19" si="18">IF(S16=TIME(17,0,0),"",(S16-T15)*24*60)</f>
        <v>4.9999999999999822</v>
      </c>
      <c r="V16" s="227">
        <f t="shared" si="17"/>
        <v>261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-109.65517241379348</v>
      </c>
      <c r="AF16" s="221">
        <f t="shared" si="9"/>
        <v>0.95431034482758603</v>
      </c>
      <c r="AG16" s="573"/>
    </row>
    <row r="17" spans="1:33" ht="16.5" customHeight="1">
      <c r="A17" s="601" t="s">
        <v>1213</v>
      </c>
      <c r="B17" s="228" t="s">
        <v>74</v>
      </c>
      <c r="C17" s="594" t="s">
        <v>85</v>
      </c>
      <c r="D17" s="594"/>
      <c r="E17" s="39">
        <v>53.68</v>
      </c>
      <c r="F17" s="228">
        <v>1351</v>
      </c>
      <c r="G17" s="218">
        <f t="shared" si="15"/>
        <v>72521.679999999993</v>
      </c>
      <c r="H17" s="48" t="s">
        <v>126</v>
      </c>
      <c r="I17" s="226">
        <v>16</v>
      </c>
      <c r="J17" s="43">
        <v>1500</v>
      </c>
      <c r="K17" s="18">
        <f t="shared" si="1"/>
        <v>93.75</v>
      </c>
      <c r="L17" s="226">
        <v>16</v>
      </c>
      <c r="M17" s="19">
        <f t="shared" si="16"/>
        <v>1447.5000000000011</v>
      </c>
      <c r="N17" s="18">
        <f t="shared" si="3"/>
        <v>90.468750000000071</v>
      </c>
      <c r="O17" s="20">
        <f t="shared" si="4"/>
        <v>0</v>
      </c>
      <c r="P17" s="21">
        <f t="shared" si="5"/>
        <v>-3.2812499999999289</v>
      </c>
      <c r="Q17" s="221">
        <f t="shared" si="6"/>
        <v>0.96500000000000075</v>
      </c>
      <c r="R17" s="573"/>
      <c r="S17" s="49">
        <v>0.70833333333333337</v>
      </c>
      <c r="T17" s="49">
        <v>0.74722222222222223</v>
      </c>
      <c r="U17" s="218" t="str">
        <f t="shared" si="18"/>
        <v/>
      </c>
      <c r="V17" s="227">
        <f t="shared" si="17"/>
        <v>55.999999999999957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-52.499999999998863</v>
      </c>
      <c r="AF17" s="221">
        <f t="shared" si="9"/>
        <v>0.96500000000000075</v>
      </c>
      <c r="AG17" s="573"/>
    </row>
    <row r="18" spans="1:33" ht="16.5" customHeight="1">
      <c r="A18" s="601" t="s">
        <v>1213</v>
      </c>
      <c r="B18" s="228" t="s">
        <v>74</v>
      </c>
      <c r="C18" s="594" t="s">
        <v>86</v>
      </c>
      <c r="D18" s="594"/>
      <c r="E18" s="39">
        <v>50.92</v>
      </c>
      <c r="F18" s="228">
        <v>2554</v>
      </c>
      <c r="G18" s="218">
        <f t="shared" si="15"/>
        <v>130049.68000000001</v>
      </c>
      <c r="H18" s="48" t="s">
        <v>126</v>
      </c>
      <c r="I18" s="226">
        <v>15</v>
      </c>
      <c r="J18" s="43">
        <v>2000</v>
      </c>
      <c r="K18" s="18">
        <f t="shared" si="1"/>
        <v>133.33333333333334</v>
      </c>
      <c r="L18" s="226">
        <v>15</v>
      </c>
      <c r="M18" s="19">
        <f t="shared" si="16"/>
        <v>1915.4999999999993</v>
      </c>
      <c r="N18" s="18">
        <f t="shared" si="3"/>
        <v>127.69999999999996</v>
      </c>
      <c r="O18" s="20">
        <f t="shared" si="4"/>
        <v>0</v>
      </c>
      <c r="P18" s="21">
        <f t="shared" si="5"/>
        <v>-5.6333333333333826</v>
      </c>
      <c r="Q18" s="221">
        <f t="shared" si="6"/>
        <v>0.95774999999999966</v>
      </c>
      <c r="R18" s="573"/>
      <c r="S18" s="49">
        <v>0.75069444444444444</v>
      </c>
      <c r="T18" s="49">
        <v>0.80625000000000002</v>
      </c>
      <c r="U18" s="218">
        <f t="shared" si="18"/>
        <v>4.9999999999999822</v>
      </c>
      <c r="V18" s="227">
        <f t="shared" si="17"/>
        <v>80.000000000000028</v>
      </c>
      <c r="W18" s="25"/>
      <c r="X18" s="25"/>
      <c r="Y18" s="25"/>
      <c r="Z18" s="25"/>
      <c r="AA18" s="575"/>
      <c r="AB18" s="575"/>
      <c r="AC18" s="50"/>
      <c r="AD18" s="27"/>
      <c r="AE18" s="20">
        <f t="shared" si="8"/>
        <v>-84.500000000000682</v>
      </c>
      <c r="AF18" s="221">
        <f t="shared" si="9"/>
        <v>0.95774999999999966</v>
      </c>
      <c r="AG18" s="573"/>
    </row>
    <row r="19" spans="1:33" ht="16.5" customHeight="1">
      <c r="A19" s="601" t="s">
        <v>1213</v>
      </c>
      <c r="B19" s="228" t="s">
        <v>74</v>
      </c>
      <c r="C19" s="594" t="s">
        <v>87</v>
      </c>
      <c r="D19" s="594"/>
      <c r="E19" s="39">
        <v>57.3</v>
      </c>
      <c r="F19" s="228">
        <v>1753</v>
      </c>
      <c r="G19" s="218">
        <f t="shared" si="15"/>
        <v>100446.9</v>
      </c>
      <c r="H19" s="48" t="s">
        <v>126</v>
      </c>
      <c r="I19" s="226">
        <v>13</v>
      </c>
      <c r="J19" s="43">
        <v>2000</v>
      </c>
      <c r="K19" s="18">
        <f t="shared" si="1"/>
        <v>153.84615384615384</v>
      </c>
      <c r="L19" s="226">
        <v>13</v>
      </c>
      <c r="M19" s="19">
        <f t="shared" si="16"/>
        <v>1912.3636363636376</v>
      </c>
      <c r="N19" s="18">
        <f t="shared" si="3"/>
        <v>147.10489510489521</v>
      </c>
      <c r="O19" s="20">
        <f t="shared" si="4"/>
        <v>0</v>
      </c>
      <c r="P19" s="21">
        <f t="shared" si="5"/>
        <v>-6.7412587412586333</v>
      </c>
      <c r="Q19" s="221">
        <f t="shared" si="6"/>
        <v>0.95618181818181891</v>
      </c>
      <c r="R19" s="573"/>
      <c r="S19" s="49">
        <v>0.81111111111111112</v>
      </c>
      <c r="T19" s="49">
        <v>0.84930555555555554</v>
      </c>
      <c r="U19" s="218">
        <f t="shared" si="18"/>
        <v>6.9999999999999751</v>
      </c>
      <c r="V19" s="227">
        <f t="shared" si="17"/>
        <v>54.999999999999964</v>
      </c>
      <c r="W19" s="25"/>
      <c r="X19" s="25"/>
      <c r="Y19" s="25"/>
      <c r="Z19" s="25"/>
      <c r="AA19" s="575"/>
      <c r="AB19" s="575"/>
      <c r="AC19" s="50"/>
      <c r="AD19" s="27"/>
      <c r="AE19" s="20">
        <f t="shared" si="8"/>
        <v>-87.636363636362375</v>
      </c>
      <c r="AF19" s="221">
        <f t="shared" si="9"/>
        <v>0.9561818181818188</v>
      </c>
      <c r="AG19" s="573"/>
    </row>
    <row r="20" spans="1:33" ht="16.5" customHeight="1">
      <c r="A20" s="601" t="s">
        <v>1213</v>
      </c>
      <c r="B20" s="39" t="s">
        <v>1214</v>
      </c>
      <c r="C20" s="576"/>
      <c r="D20" s="576"/>
      <c r="E20" s="225"/>
      <c r="F20" s="42"/>
      <c r="G20" s="18"/>
      <c r="H20" s="228"/>
      <c r="I20" s="32">
        <v>17.8</v>
      </c>
      <c r="J20" s="43">
        <v>1880</v>
      </c>
      <c r="K20" s="18">
        <f t="shared" si="1"/>
        <v>105.61797752808988</v>
      </c>
      <c r="L20" s="32">
        <v>17.8</v>
      </c>
      <c r="M20" s="19">
        <f>AVERAGE(M15:M19)</f>
        <v>1799.8711045546747</v>
      </c>
      <c r="N20" s="18">
        <f t="shared" si="3"/>
        <v>101.11635418846487</v>
      </c>
      <c r="O20" s="20">
        <f t="shared" si="4"/>
        <v>0</v>
      </c>
      <c r="P20" s="21">
        <f t="shared" si="5"/>
        <v>-4.5016233396250129</v>
      </c>
      <c r="Q20" s="221">
        <f t="shared" si="6"/>
        <v>0.95737824710355046</v>
      </c>
      <c r="R20" s="573"/>
      <c r="S20" s="49"/>
      <c r="T20" s="49"/>
      <c r="U20" s="218"/>
      <c r="V20" s="227"/>
      <c r="W20" s="18"/>
      <c r="X20" s="18"/>
      <c r="Y20" s="33">
        <f>SUM(Y15:Y19)</f>
        <v>0</v>
      </c>
      <c r="Z20" s="33">
        <f>SUM(Z15:Z19)</f>
        <v>0</v>
      </c>
      <c r="AA20" s="572"/>
      <c r="AB20" s="572"/>
      <c r="AC20" s="33">
        <v>5</v>
      </c>
      <c r="AD20" s="33">
        <f>SUM(AD15:AD19)</f>
        <v>0</v>
      </c>
      <c r="AE20" s="20">
        <f t="shared" si="8"/>
        <v>-80.12889544532527</v>
      </c>
      <c r="AF20" s="221">
        <f t="shared" si="9"/>
        <v>0.95737824710355035</v>
      </c>
      <c r="AG20" s="573"/>
    </row>
    <row r="21" spans="1:33" ht="15.75" customHeight="1">
      <c r="A21" s="596" t="s">
        <v>1215</v>
      </c>
      <c r="B21" s="39" t="s">
        <v>74</v>
      </c>
      <c r="C21" s="594" t="s">
        <v>84</v>
      </c>
      <c r="D21" s="594"/>
      <c r="E21" s="39">
        <v>54.09</v>
      </c>
      <c r="F21" s="228">
        <v>2329</v>
      </c>
      <c r="G21" s="218">
        <f t="shared" ref="G21:G26" si="19">E21*F21</f>
        <v>125975.61000000002</v>
      </c>
      <c r="H21" s="48" t="s">
        <v>126</v>
      </c>
      <c r="I21" s="226">
        <v>17</v>
      </c>
      <c r="J21" s="43">
        <v>1500</v>
      </c>
      <c r="K21" s="18">
        <f t="shared" si="1"/>
        <v>88.235294117647058</v>
      </c>
      <c r="L21" s="226">
        <v>17</v>
      </c>
      <c r="M21" s="19">
        <f t="shared" ref="M21:M26" si="20">F21/V21*60</f>
        <v>1440.6185567010307</v>
      </c>
      <c r="N21" s="18">
        <f t="shared" si="3"/>
        <v>84.742268041237097</v>
      </c>
      <c r="O21" s="20">
        <f t="shared" si="4"/>
        <v>0</v>
      </c>
      <c r="P21" s="21">
        <f t="shared" si="5"/>
        <v>-3.4930260764099614</v>
      </c>
      <c r="Q21" s="221">
        <f t="shared" si="6"/>
        <v>0.96041237113402045</v>
      </c>
      <c r="R21" s="573">
        <f>Q27</f>
        <v>0.95588363246030905</v>
      </c>
      <c r="S21" s="49">
        <v>0.20833333333333334</v>
      </c>
      <c r="T21" s="49">
        <v>0.27569444444444446</v>
      </c>
      <c r="U21" s="218"/>
      <c r="V21" s="227">
        <f t="shared" ref="V21:V26" si="21">(T21-S21)*24*60</f>
        <v>97.000000000000014</v>
      </c>
      <c r="W21" s="30"/>
      <c r="X21" s="30"/>
      <c r="Y21" s="30"/>
      <c r="Z21" s="30"/>
      <c r="AA21" s="575"/>
      <c r="AB21" s="575"/>
      <c r="AC21" s="50">
        <v>6</v>
      </c>
      <c r="AD21" s="27"/>
      <c r="AE21" s="20">
        <f t="shared" si="8"/>
        <v>-59.381443298969316</v>
      </c>
      <c r="AF21" s="221">
        <f t="shared" si="9"/>
        <v>0.96041237113402045</v>
      </c>
      <c r="AG21" s="573">
        <f>AF27</f>
        <v>0.95588363246030905</v>
      </c>
    </row>
    <row r="22" spans="1:33" ht="15.75" customHeight="1">
      <c r="A22" s="597" t="s">
        <v>1216</v>
      </c>
      <c r="B22" s="39" t="s">
        <v>74</v>
      </c>
      <c r="C22" s="594" t="s">
        <v>89</v>
      </c>
      <c r="D22" s="594"/>
      <c r="E22" s="39">
        <v>50.67</v>
      </c>
      <c r="F22" s="228">
        <v>2455</v>
      </c>
      <c r="G22" s="218">
        <f t="shared" si="19"/>
        <v>124394.85</v>
      </c>
      <c r="H22" s="48" t="s">
        <v>126</v>
      </c>
      <c r="I22" s="226">
        <v>17</v>
      </c>
      <c r="J22" s="43">
        <v>2000</v>
      </c>
      <c r="K22" s="18">
        <f t="shared" si="1"/>
        <v>117.64705882352941</v>
      </c>
      <c r="L22" s="226">
        <v>17</v>
      </c>
      <c r="M22" s="19">
        <f t="shared" si="20"/>
        <v>1912.9870129870119</v>
      </c>
      <c r="N22" s="18">
        <f t="shared" si="3"/>
        <v>112.52864782276541</v>
      </c>
      <c r="O22" s="20">
        <f t="shared" si="4"/>
        <v>0</v>
      </c>
      <c r="P22" s="21">
        <f t="shared" si="5"/>
        <v>-5.1184110007639987</v>
      </c>
      <c r="Q22" s="221">
        <f t="shared" si="6"/>
        <v>0.95649350649350606</v>
      </c>
      <c r="R22" s="573"/>
      <c r="S22" s="49">
        <v>0.27986111111111112</v>
      </c>
      <c r="T22" s="49">
        <v>0.33333333333333337</v>
      </c>
      <c r="U22" s="218">
        <f t="shared" ref="U22:U26" si="22">IF(S22=TIME(17,0,0),"",(S22-T21)*24*60)</f>
        <v>5.9999999999999787</v>
      </c>
      <c r="V22" s="227">
        <f t="shared" si="21"/>
        <v>77.000000000000043</v>
      </c>
      <c r="W22" s="25"/>
      <c r="X22" s="218"/>
      <c r="Y22" s="218"/>
      <c r="Z22" s="218"/>
      <c r="AA22" s="575"/>
      <c r="AB22" s="575"/>
      <c r="AC22" s="50"/>
      <c r="AD22" s="27"/>
      <c r="AE22" s="20">
        <f t="shared" si="8"/>
        <v>-87.012987012988106</v>
      </c>
      <c r="AF22" s="221">
        <f t="shared" si="9"/>
        <v>0.95649350649350595</v>
      </c>
      <c r="AG22" s="573"/>
    </row>
    <row r="23" spans="1:33" ht="15.75" customHeight="1">
      <c r="A23" s="597" t="s">
        <v>1216</v>
      </c>
      <c r="B23" s="39" t="s">
        <v>74</v>
      </c>
      <c r="C23" s="594" t="s">
        <v>90</v>
      </c>
      <c r="D23" s="594"/>
      <c r="E23" s="39">
        <v>57.73</v>
      </c>
      <c r="F23" s="228">
        <v>2603</v>
      </c>
      <c r="G23" s="218">
        <f t="shared" si="19"/>
        <v>150271.19</v>
      </c>
      <c r="H23" s="48" t="s">
        <v>126</v>
      </c>
      <c r="I23" s="226">
        <v>14</v>
      </c>
      <c r="J23" s="43">
        <v>2000</v>
      </c>
      <c r="K23" s="18">
        <f t="shared" si="1"/>
        <v>142.85714285714286</v>
      </c>
      <c r="L23" s="226">
        <v>14</v>
      </c>
      <c r="M23" s="19">
        <f t="shared" si="20"/>
        <v>1904.6341463414626</v>
      </c>
      <c r="N23" s="18">
        <f t="shared" si="3"/>
        <v>136.04529616724733</v>
      </c>
      <c r="O23" s="20">
        <f t="shared" si="4"/>
        <v>0</v>
      </c>
      <c r="P23" s="21">
        <f t="shared" si="5"/>
        <v>-6.8118466898955319</v>
      </c>
      <c r="Q23" s="221">
        <f t="shared" si="6"/>
        <v>0.95231707317073133</v>
      </c>
      <c r="R23" s="573"/>
      <c r="S23" s="49">
        <v>0.33819444444444446</v>
      </c>
      <c r="T23" s="49">
        <v>0.39513888888888893</v>
      </c>
      <c r="U23" s="218">
        <f t="shared" si="22"/>
        <v>6.9999999999999751</v>
      </c>
      <c r="V23" s="227">
        <f t="shared" si="21"/>
        <v>82.000000000000028</v>
      </c>
      <c r="W23" s="25"/>
      <c r="X23" s="25"/>
      <c r="Y23" s="218"/>
      <c r="Z23" s="218"/>
      <c r="AA23" s="575"/>
      <c r="AB23" s="575"/>
      <c r="AC23" s="50"/>
      <c r="AD23" s="27"/>
      <c r="AE23" s="20">
        <f t="shared" si="8"/>
        <v>-95.365853658537389</v>
      </c>
      <c r="AF23" s="221">
        <f t="shared" si="9"/>
        <v>0.95231707317073133</v>
      </c>
      <c r="AG23" s="573"/>
    </row>
    <row r="24" spans="1:33" ht="15.75" customHeight="1">
      <c r="A24" s="597" t="s">
        <v>1216</v>
      </c>
      <c r="B24" s="39" t="s">
        <v>74</v>
      </c>
      <c r="C24" s="594" t="s">
        <v>91</v>
      </c>
      <c r="D24" s="594"/>
      <c r="E24" s="39">
        <v>53.68</v>
      </c>
      <c r="F24" s="228">
        <v>1307</v>
      </c>
      <c r="G24" s="218">
        <f t="shared" si="19"/>
        <v>70159.759999999995</v>
      </c>
      <c r="H24" s="48" t="s">
        <v>126</v>
      </c>
      <c r="I24" s="226">
        <v>16</v>
      </c>
      <c r="J24" s="43">
        <v>2000</v>
      </c>
      <c r="K24" s="18">
        <f t="shared" si="1"/>
        <v>125</v>
      </c>
      <c r="L24" s="226">
        <v>16</v>
      </c>
      <c r="M24" s="19">
        <f t="shared" si="20"/>
        <v>1912.6829268292677</v>
      </c>
      <c r="N24" s="18">
        <f t="shared" si="3"/>
        <v>119.54268292682923</v>
      </c>
      <c r="O24" s="20">
        <f t="shared" si="4"/>
        <v>0</v>
      </c>
      <c r="P24" s="21">
        <f t="shared" si="5"/>
        <v>-5.4573170731707705</v>
      </c>
      <c r="Q24" s="221">
        <f t="shared" si="6"/>
        <v>0.95634146341463389</v>
      </c>
      <c r="R24" s="573"/>
      <c r="S24" s="49">
        <v>0.40069444444444446</v>
      </c>
      <c r="T24" s="49">
        <v>0.4291666666666667</v>
      </c>
      <c r="U24" s="218">
        <f t="shared" si="22"/>
        <v>7.9999999999999716</v>
      </c>
      <c r="V24" s="227">
        <f t="shared" si="21"/>
        <v>41.000000000000014</v>
      </c>
      <c r="W24" s="25"/>
      <c r="X24" s="218"/>
      <c r="Y24" s="218"/>
      <c r="Z24" s="218"/>
      <c r="AA24" s="575"/>
      <c r="AB24" s="575"/>
      <c r="AC24" s="50"/>
      <c r="AD24" s="27"/>
      <c r="AE24" s="20">
        <f t="shared" si="8"/>
        <v>-87.317073170732328</v>
      </c>
      <c r="AF24" s="221">
        <f t="shared" si="9"/>
        <v>0.95634146341463389</v>
      </c>
      <c r="AG24" s="573"/>
    </row>
    <row r="25" spans="1:33" ht="15.75" customHeight="1">
      <c r="A25" s="597" t="s">
        <v>1216</v>
      </c>
      <c r="B25" s="39" t="s">
        <v>74</v>
      </c>
      <c r="C25" s="594" t="s">
        <v>92</v>
      </c>
      <c r="D25" s="594"/>
      <c r="E25" s="39">
        <v>50.49</v>
      </c>
      <c r="F25" s="228">
        <v>2210</v>
      </c>
      <c r="G25" s="218">
        <f t="shared" si="19"/>
        <v>111582.90000000001</v>
      </c>
      <c r="H25" s="48" t="s">
        <v>126</v>
      </c>
      <c r="I25" s="226">
        <v>15</v>
      </c>
      <c r="J25" s="43">
        <v>2000</v>
      </c>
      <c r="K25" s="18">
        <f t="shared" si="1"/>
        <v>133.33333333333334</v>
      </c>
      <c r="L25" s="226">
        <v>15</v>
      </c>
      <c r="M25" s="19">
        <f t="shared" si="20"/>
        <v>1921.7391304347807</v>
      </c>
      <c r="N25" s="18">
        <f t="shared" si="3"/>
        <v>128.11594202898539</v>
      </c>
      <c r="O25" s="20">
        <f t="shared" si="4"/>
        <v>0</v>
      </c>
      <c r="P25" s="21">
        <f t="shared" si="5"/>
        <v>-5.2173913043479558</v>
      </c>
      <c r="Q25" s="221">
        <f t="shared" si="6"/>
        <v>0.96086956521739031</v>
      </c>
      <c r="R25" s="573"/>
      <c r="S25" s="49">
        <v>0.70833333333333337</v>
      </c>
      <c r="T25" s="49">
        <v>0.75625000000000009</v>
      </c>
      <c r="U25" s="218" t="str">
        <f t="shared" si="22"/>
        <v/>
      </c>
      <c r="V25" s="227">
        <f t="shared" si="21"/>
        <v>69.000000000000071</v>
      </c>
      <c r="W25" s="25"/>
      <c r="X25" s="25"/>
      <c r="Y25" s="218"/>
      <c r="Z25" s="218"/>
      <c r="AA25" s="575"/>
      <c r="AB25" s="575"/>
      <c r="AC25" s="50"/>
      <c r="AD25" s="27"/>
      <c r="AE25" s="20">
        <f t="shared" si="8"/>
        <v>-78.260869565219309</v>
      </c>
      <c r="AF25" s="221">
        <f t="shared" si="9"/>
        <v>0.96086956521739031</v>
      </c>
      <c r="AG25" s="573"/>
    </row>
    <row r="26" spans="1:33" ht="15.75" customHeight="1">
      <c r="A26" s="597" t="s">
        <v>1216</v>
      </c>
      <c r="B26" s="39" t="s">
        <v>74</v>
      </c>
      <c r="C26" s="594" t="s">
        <v>93</v>
      </c>
      <c r="D26" s="594"/>
      <c r="E26" s="39">
        <v>50.98</v>
      </c>
      <c r="F26" s="228">
        <v>2565</v>
      </c>
      <c r="G26" s="218">
        <f t="shared" si="19"/>
        <v>130763.7</v>
      </c>
      <c r="H26" s="48" t="s">
        <v>126</v>
      </c>
      <c r="I26" s="226">
        <v>16</v>
      </c>
      <c r="J26" s="43">
        <v>2000</v>
      </c>
      <c r="K26" s="18">
        <f t="shared" si="1"/>
        <v>125</v>
      </c>
      <c r="L26" s="226">
        <v>16</v>
      </c>
      <c r="M26" s="19">
        <f t="shared" si="20"/>
        <v>1899.9999999999995</v>
      </c>
      <c r="N26" s="18">
        <f t="shared" si="3"/>
        <v>118.74999999999997</v>
      </c>
      <c r="O26" s="20">
        <f t="shared" si="4"/>
        <v>0</v>
      </c>
      <c r="P26" s="21">
        <f t="shared" si="5"/>
        <v>-6.2500000000000284</v>
      </c>
      <c r="Q26" s="221">
        <f t="shared" si="6"/>
        <v>0.94999999999999973</v>
      </c>
      <c r="R26" s="573"/>
      <c r="S26" s="49">
        <v>0.76041666666666674</v>
      </c>
      <c r="T26" s="49">
        <v>0.81666666666666676</v>
      </c>
      <c r="U26" s="218">
        <f t="shared" si="22"/>
        <v>5.9999999999999787</v>
      </c>
      <c r="V26" s="227">
        <f t="shared" si="21"/>
        <v>81.000000000000028</v>
      </c>
      <c r="W26" s="25"/>
      <c r="X26" s="30"/>
      <c r="Y26" s="30"/>
      <c r="Z26" s="30"/>
      <c r="AA26" s="575"/>
      <c r="AB26" s="575"/>
      <c r="AC26" s="50"/>
      <c r="AD26" s="27"/>
      <c r="AE26" s="20">
        <f t="shared" si="8"/>
        <v>-100.00000000000045</v>
      </c>
      <c r="AF26" s="221">
        <f t="shared" si="9"/>
        <v>0.94999999999999973</v>
      </c>
      <c r="AG26" s="573"/>
    </row>
    <row r="27" spans="1:33" ht="15.75" customHeight="1">
      <c r="A27" s="597" t="s">
        <v>1216</v>
      </c>
      <c r="B27" s="39" t="s">
        <v>1217</v>
      </c>
      <c r="C27" s="576"/>
      <c r="D27" s="576"/>
      <c r="E27" s="225"/>
      <c r="F27" s="228"/>
      <c r="G27" s="218"/>
      <c r="H27" s="228"/>
      <c r="I27" s="32">
        <v>15.833333333333334</v>
      </c>
      <c r="J27" s="43">
        <v>1916.6666666666667</v>
      </c>
      <c r="K27" s="18">
        <f t="shared" si="1"/>
        <v>121.05263157894737</v>
      </c>
      <c r="L27" s="32">
        <v>15.833333333333334</v>
      </c>
      <c r="M27" s="19">
        <f>AVERAGE(M21:M26)</f>
        <v>1832.1102955489257</v>
      </c>
      <c r="N27" s="18">
        <f t="shared" si="3"/>
        <v>115.71222919256373</v>
      </c>
      <c r="O27" s="20">
        <f t="shared" si="4"/>
        <v>0</v>
      </c>
      <c r="P27" s="21">
        <f t="shared" si="5"/>
        <v>-5.3404023863836443</v>
      </c>
      <c r="Q27" s="221">
        <f t="shared" si="6"/>
        <v>0.95588363246030905</v>
      </c>
      <c r="R27" s="573"/>
      <c r="S27" s="49"/>
      <c r="T27" s="49"/>
      <c r="U27" s="18"/>
      <c r="V27" s="227"/>
      <c r="W27" s="18"/>
      <c r="X27" s="18"/>
      <c r="Y27" s="33">
        <f>SUM(Y21:Y26)</f>
        <v>0</v>
      </c>
      <c r="Z27" s="33">
        <f>SUM(Z21:Z26)</f>
        <v>0</v>
      </c>
      <c r="AA27" s="572"/>
      <c r="AB27" s="572"/>
      <c r="AC27" s="33">
        <v>6</v>
      </c>
      <c r="AD27" s="33">
        <f>SUM(AD21:AD26)</f>
        <v>0</v>
      </c>
      <c r="AE27" s="20">
        <f t="shared" si="8"/>
        <v>-84.556371117741037</v>
      </c>
      <c r="AF27" s="221">
        <f t="shared" si="9"/>
        <v>0.95588363246030905</v>
      </c>
      <c r="AG27" s="573"/>
    </row>
    <row r="28" spans="1:33" ht="15.75" customHeight="1">
      <c r="A28" s="595" t="s">
        <v>1218</v>
      </c>
      <c r="B28" s="39" t="s">
        <v>94</v>
      </c>
      <c r="C28" s="594" t="s">
        <v>95</v>
      </c>
      <c r="D28" s="594"/>
      <c r="E28" s="39">
        <v>31.29</v>
      </c>
      <c r="F28" s="228">
        <v>8600</v>
      </c>
      <c r="G28" s="218">
        <f t="shared" ref="G28:G34" si="23">E28*F28</f>
        <v>269094</v>
      </c>
      <c r="H28" s="48">
        <v>2</v>
      </c>
      <c r="I28" s="226">
        <v>18</v>
      </c>
      <c r="J28" s="43">
        <v>2400</v>
      </c>
      <c r="K28" s="18">
        <f t="shared" si="1"/>
        <v>133.33333333333334</v>
      </c>
      <c r="L28" s="226">
        <v>18</v>
      </c>
      <c r="M28" s="19">
        <f t="shared" ref="M28:M34" si="24">F28/V28*60</f>
        <v>2293.3333333333335</v>
      </c>
      <c r="N28" s="18">
        <f t="shared" si="3"/>
        <v>127.40740740740742</v>
      </c>
      <c r="O28" s="20">
        <f t="shared" si="4"/>
        <v>0</v>
      </c>
      <c r="P28" s="21">
        <f t="shared" si="5"/>
        <v>-5.9259259259259238</v>
      </c>
      <c r="Q28" s="221">
        <f t="shared" si="6"/>
        <v>0.9555555555555556</v>
      </c>
      <c r="R28" s="573">
        <f>Q35</f>
        <v>0.95760276152471546</v>
      </c>
      <c r="S28" s="49">
        <v>8.3333333333333329E-2</v>
      </c>
      <c r="T28" s="49">
        <v>0.23958333333333331</v>
      </c>
      <c r="U28" s="218"/>
      <c r="V28" s="227">
        <f t="shared" ref="V28:V34" si="25">(T28-S28)*24*60</f>
        <v>225</v>
      </c>
      <c r="W28" s="25">
        <f>T28</f>
        <v>0.23958333333333331</v>
      </c>
      <c r="X28" s="25">
        <f>S29</f>
        <v>0.26041666666666663</v>
      </c>
      <c r="Y28" s="25"/>
      <c r="Z28" s="25"/>
      <c r="AA28" s="575"/>
      <c r="AB28" s="575"/>
      <c r="AC28" s="50">
        <v>7</v>
      </c>
      <c r="AD28" s="27"/>
      <c r="AE28" s="20">
        <f t="shared" si="8"/>
        <v>-106.66666666666652</v>
      </c>
      <c r="AF28" s="221">
        <f t="shared" si="9"/>
        <v>0.9555555555555556</v>
      </c>
      <c r="AG28" s="573">
        <f>AF35</f>
        <v>0.95760276152471535</v>
      </c>
    </row>
    <row r="29" spans="1:33" ht="15.75" customHeight="1">
      <c r="A29" s="595" t="s">
        <v>1219</v>
      </c>
      <c r="B29" s="39" t="s">
        <v>94</v>
      </c>
      <c r="C29" s="594" t="s">
        <v>97</v>
      </c>
      <c r="D29" s="594"/>
      <c r="E29" s="39">
        <v>26.37</v>
      </c>
      <c r="F29" s="228">
        <v>4100</v>
      </c>
      <c r="G29" s="218">
        <f t="shared" si="23"/>
        <v>108117</v>
      </c>
      <c r="H29" s="48">
        <v>2</v>
      </c>
      <c r="I29" s="226">
        <v>19</v>
      </c>
      <c r="J29" s="43">
        <v>2400</v>
      </c>
      <c r="K29" s="18">
        <f t="shared" si="1"/>
        <v>126.31578947368421</v>
      </c>
      <c r="L29" s="226">
        <v>19</v>
      </c>
      <c r="M29" s="19">
        <f t="shared" si="24"/>
        <v>2299.0654205607475</v>
      </c>
      <c r="N29" s="18">
        <f t="shared" si="3"/>
        <v>121.00344318740777</v>
      </c>
      <c r="O29" s="20">
        <f t="shared" si="4"/>
        <v>0</v>
      </c>
      <c r="P29" s="21">
        <f t="shared" si="5"/>
        <v>-5.312346286276437</v>
      </c>
      <c r="Q29" s="221">
        <f t="shared" si="6"/>
        <v>0.95794392523364491</v>
      </c>
      <c r="R29" s="573"/>
      <c r="S29" s="49">
        <v>0.26041666666666663</v>
      </c>
      <c r="T29" s="49">
        <v>0.3347222222222222</v>
      </c>
      <c r="U29" s="218">
        <f t="shared" ref="U29:U34" si="26">(S29-T28)*24*60</f>
        <v>29.999999999999972</v>
      </c>
      <c r="V29" s="227">
        <f t="shared" si="25"/>
        <v>107.00000000000001</v>
      </c>
      <c r="W29" s="25"/>
      <c r="X29" s="25"/>
      <c r="Y29" s="25"/>
      <c r="Z29" s="25"/>
      <c r="AA29" s="575"/>
      <c r="AB29" s="575"/>
      <c r="AC29" s="50"/>
      <c r="AD29" s="27"/>
      <c r="AE29" s="20">
        <f t="shared" si="8"/>
        <v>-100.9345794392525</v>
      </c>
      <c r="AF29" s="221">
        <f t="shared" si="9"/>
        <v>0.9579439252336448</v>
      </c>
      <c r="AG29" s="573"/>
    </row>
    <row r="30" spans="1:33" ht="15.75" customHeight="1">
      <c r="A30" s="595" t="s">
        <v>1219</v>
      </c>
      <c r="B30" s="39" t="s">
        <v>94</v>
      </c>
      <c r="C30" s="594" t="s">
        <v>98</v>
      </c>
      <c r="D30" s="594"/>
      <c r="E30" s="39">
        <v>25.99</v>
      </c>
      <c r="F30" s="228">
        <v>3600</v>
      </c>
      <c r="G30" s="218">
        <f t="shared" si="23"/>
        <v>93564</v>
      </c>
      <c r="H30" s="48">
        <v>2</v>
      </c>
      <c r="I30" s="226">
        <v>14</v>
      </c>
      <c r="J30" s="43">
        <v>2400</v>
      </c>
      <c r="K30" s="18">
        <f t="shared" si="1"/>
        <v>171.42857142857142</v>
      </c>
      <c r="L30" s="226">
        <v>14</v>
      </c>
      <c r="M30" s="19">
        <f t="shared" si="24"/>
        <v>2297.872340425532</v>
      </c>
      <c r="N30" s="18">
        <f t="shared" si="3"/>
        <v>164.13373860182372</v>
      </c>
      <c r="O30" s="20">
        <f t="shared" si="4"/>
        <v>0</v>
      </c>
      <c r="P30" s="21">
        <f t="shared" si="5"/>
        <v>-7.2948328267476938</v>
      </c>
      <c r="Q30" s="221">
        <f t="shared" si="6"/>
        <v>0.95744680851063846</v>
      </c>
      <c r="R30" s="573"/>
      <c r="S30" s="49">
        <v>0.33888888888888885</v>
      </c>
      <c r="T30" s="49">
        <v>0.40416666666666662</v>
      </c>
      <c r="U30" s="218">
        <f t="shared" si="26"/>
        <v>5.9999999999999787</v>
      </c>
      <c r="V30" s="227">
        <f t="shared" si="25"/>
        <v>93.999999999999986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-102.127659574468</v>
      </c>
      <c r="AF30" s="221">
        <f t="shared" si="9"/>
        <v>0.95744680851063835</v>
      </c>
      <c r="AG30" s="573"/>
    </row>
    <row r="31" spans="1:33" ht="15.75" customHeight="1">
      <c r="A31" s="595" t="s">
        <v>1219</v>
      </c>
      <c r="B31" s="39" t="s">
        <v>94</v>
      </c>
      <c r="C31" s="594" t="s">
        <v>122</v>
      </c>
      <c r="D31" s="594"/>
      <c r="E31" s="39">
        <v>20.52</v>
      </c>
      <c r="F31" s="228">
        <v>3679</v>
      </c>
      <c r="G31" s="218">
        <f t="shared" si="23"/>
        <v>75493.08</v>
      </c>
      <c r="H31" s="48" t="s">
        <v>126</v>
      </c>
      <c r="I31" s="226">
        <v>18</v>
      </c>
      <c r="J31" s="43">
        <v>2400</v>
      </c>
      <c r="K31" s="18">
        <f t="shared" si="1"/>
        <v>133.33333333333334</v>
      </c>
      <c r="L31" s="226">
        <v>18</v>
      </c>
      <c r="M31" s="19">
        <f t="shared" si="24"/>
        <v>2299.3750000000009</v>
      </c>
      <c r="N31" s="18">
        <f t="shared" si="3"/>
        <v>127.7430555555556</v>
      </c>
      <c r="O31" s="20">
        <f t="shared" si="4"/>
        <v>0</v>
      </c>
      <c r="P31" s="21">
        <f t="shared" si="5"/>
        <v>-5.590277777777743</v>
      </c>
      <c r="Q31" s="221">
        <f t="shared" si="6"/>
        <v>0.95807291666666694</v>
      </c>
      <c r="R31" s="573"/>
      <c r="S31" s="49">
        <v>0.40833333333333327</v>
      </c>
      <c r="T31" s="49">
        <v>0.47499999999999992</v>
      </c>
      <c r="U31" s="218">
        <f t="shared" si="26"/>
        <v>5.9999999999999787</v>
      </c>
      <c r="V31" s="227">
        <f t="shared" si="25"/>
        <v>95.999999999999972</v>
      </c>
      <c r="W31" s="25">
        <f>T31</f>
        <v>0.47499999999999992</v>
      </c>
      <c r="X31" s="25">
        <f>S32</f>
        <v>0.51597222222222205</v>
      </c>
      <c r="Y31" s="25"/>
      <c r="Z31" s="25"/>
      <c r="AA31" s="575"/>
      <c r="AB31" s="575"/>
      <c r="AC31" s="50"/>
      <c r="AD31" s="27"/>
      <c r="AE31" s="20">
        <f t="shared" si="8"/>
        <v>-100.62499999999909</v>
      </c>
      <c r="AF31" s="221">
        <f t="shared" si="9"/>
        <v>0.95807291666666705</v>
      </c>
      <c r="AG31" s="573"/>
    </row>
    <row r="32" spans="1:33" ht="15.75" customHeight="1">
      <c r="A32" s="595" t="s">
        <v>1219</v>
      </c>
      <c r="B32" s="39" t="s">
        <v>94</v>
      </c>
      <c r="C32" s="594" t="s">
        <v>95</v>
      </c>
      <c r="D32" s="594"/>
      <c r="E32" s="39">
        <v>31.29</v>
      </c>
      <c r="F32" s="228">
        <v>4935</v>
      </c>
      <c r="G32" s="218">
        <f t="shared" si="23"/>
        <v>154416.15</v>
      </c>
      <c r="H32" s="48" t="s">
        <v>126</v>
      </c>
      <c r="I32" s="226">
        <v>18</v>
      </c>
      <c r="J32" s="43">
        <v>2400</v>
      </c>
      <c r="K32" s="18">
        <f t="shared" si="1"/>
        <v>133.33333333333334</v>
      </c>
      <c r="L32" s="226">
        <v>18</v>
      </c>
      <c r="M32" s="19">
        <f t="shared" si="24"/>
        <v>2295.348837209302</v>
      </c>
      <c r="N32" s="18">
        <f t="shared" si="3"/>
        <v>127.51937984496122</v>
      </c>
      <c r="O32" s="20">
        <f t="shared" si="4"/>
        <v>0</v>
      </c>
      <c r="P32" s="21">
        <f t="shared" si="5"/>
        <v>-5.8139534883721211</v>
      </c>
      <c r="Q32" s="221">
        <f t="shared" si="6"/>
        <v>0.95639534883720911</v>
      </c>
      <c r="R32" s="573"/>
      <c r="S32" s="49">
        <v>0.51597222222222205</v>
      </c>
      <c r="T32" s="49">
        <v>0.6055555555555554</v>
      </c>
      <c r="U32" s="218">
        <f t="shared" si="26"/>
        <v>58.999999999999872</v>
      </c>
      <c r="V32" s="227">
        <f t="shared" si="25"/>
        <v>129.00000000000003</v>
      </c>
      <c r="W32" s="25"/>
      <c r="X32" s="25"/>
      <c r="Y32" s="25"/>
      <c r="Z32" s="25"/>
      <c r="AA32" s="575"/>
      <c r="AB32" s="575"/>
      <c r="AC32" s="50"/>
      <c r="AD32" s="27"/>
      <c r="AE32" s="20">
        <f t="shared" si="8"/>
        <v>-104.65116279069798</v>
      </c>
      <c r="AF32" s="221">
        <f t="shared" si="9"/>
        <v>0.95639534883720922</v>
      </c>
      <c r="AG32" s="573"/>
    </row>
    <row r="33" spans="1:33" ht="15.75" customHeight="1">
      <c r="A33" s="595" t="s">
        <v>1219</v>
      </c>
      <c r="B33" s="39" t="s">
        <v>94</v>
      </c>
      <c r="C33" s="594" t="s">
        <v>97</v>
      </c>
      <c r="D33" s="594"/>
      <c r="E33" s="39">
        <v>26.37</v>
      </c>
      <c r="F33" s="228">
        <v>2956</v>
      </c>
      <c r="G33" s="218">
        <f t="shared" si="23"/>
        <v>77949.72</v>
      </c>
      <c r="H33" s="48" t="s">
        <v>126</v>
      </c>
      <c r="I33" s="226">
        <v>19</v>
      </c>
      <c r="J33" s="43">
        <v>2400</v>
      </c>
      <c r="K33" s="18">
        <f t="shared" si="1"/>
        <v>126.31578947368421</v>
      </c>
      <c r="L33" s="226">
        <v>19</v>
      </c>
      <c r="M33" s="19">
        <f t="shared" si="24"/>
        <v>2303.3766233766219</v>
      </c>
      <c r="N33" s="18">
        <f t="shared" si="3"/>
        <v>121.23034859876957</v>
      </c>
      <c r="O33" s="20">
        <f t="shared" si="4"/>
        <v>0</v>
      </c>
      <c r="P33" s="21">
        <f t="shared" si="5"/>
        <v>-5.0854408749146387</v>
      </c>
      <c r="Q33" s="221">
        <f t="shared" si="6"/>
        <v>0.95974025974025912</v>
      </c>
      <c r="R33" s="573"/>
      <c r="S33" s="49">
        <v>0.60972222222222205</v>
      </c>
      <c r="T33" s="49">
        <v>0.66319444444444431</v>
      </c>
      <c r="U33" s="218">
        <f t="shared" si="26"/>
        <v>5.9999999999999787</v>
      </c>
      <c r="V33" s="227">
        <f t="shared" si="25"/>
        <v>77.000000000000043</v>
      </c>
      <c r="W33" s="25"/>
      <c r="X33" s="25"/>
      <c r="Y33" s="25"/>
      <c r="Z33" s="25"/>
      <c r="AA33" s="575"/>
      <c r="AB33" s="575"/>
      <c r="AC33" s="50"/>
      <c r="AD33" s="27"/>
      <c r="AE33" s="20">
        <f t="shared" si="8"/>
        <v>-96.623376623378135</v>
      </c>
      <c r="AF33" s="221">
        <f t="shared" si="9"/>
        <v>0.95974025974025912</v>
      </c>
      <c r="AG33" s="573"/>
    </row>
    <row r="34" spans="1:33" ht="15.75" customHeight="1">
      <c r="A34" s="595" t="s">
        <v>1219</v>
      </c>
      <c r="B34" s="39" t="s">
        <v>94</v>
      </c>
      <c r="C34" s="594" t="s">
        <v>98</v>
      </c>
      <c r="D34" s="594"/>
      <c r="E34" s="39">
        <v>25.99</v>
      </c>
      <c r="F34" s="228">
        <v>2376</v>
      </c>
      <c r="G34" s="218">
        <f t="shared" si="23"/>
        <v>61752.24</v>
      </c>
      <c r="H34" s="48" t="s">
        <v>126</v>
      </c>
      <c r="I34" s="226">
        <v>14</v>
      </c>
      <c r="J34" s="43">
        <v>2400</v>
      </c>
      <c r="K34" s="18">
        <f t="shared" si="1"/>
        <v>171.42857142857142</v>
      </c>
      <c r="L34" s="226">
        <v>14</v>
      </c>
      <c r="M34" s="19">
        <f t="shared" si="24"/>
        <v>2299.3548387096794</v>
      </c>
      <c r="N34" s="18">
        <f t="shared" si="3"/>
        <v>164.23963133640567</v>
      </c>
      <c r="O34" s="20">
        <f t="shared" si="4"/>
        <v>0</v>
      </c>
      <c r="P34" s="21">
        <f t="shared" si="5"/>
        <v>-7.1889400921657511</v>
      </c>
      <c r="Q34" s="221">
        <f t="shared" si="6"/>
        <v>0.95806451612903309</v>
      </c>
      <c r="R34" s="573"/>
      <c r="S34" s="49">
        <v>0.6680555555555554</v>
      </c>
      <c r="T34" s="49">
        <v>0.71111111111111092</v>
      </c>
      <c r="U34" s="218">
        <f t="shared" si="26"/>
        <v>6.9999999999999751</v>
      </c>
      <c r="V34" s="227">
        <f t="shared" si="25"/>
        <v>61.999999999999943</v>
      </c>
      <c r="W34" s="25"/>
      <c r="X34" s="25"/>
      <c r="Y34" s="25"/>
      <c r="Z34" s="25"/>
      <c r="AA34" s="575"/>
      <c r="AB34" s="575"/>
      <c r="AC34" s="50"/>
      <c r="AD34" s="27"/>
      <c r="AE34" s="20">
        <f t="shared" si="8"/>
        <v>-100.64516129032063</v>
      </c>
      <c r="AF34" s="221">
        <f t="shared" si="9"/>
        <v>0.95806451612903309</v>
      </c>
      <c r="AG34" s="573"/>
    </row>
    <row r="35" spans="1:33" ht="15.75" customHeight="1">
      <c r="A35" s="595" t="s">
        <v>1219</v>
      </c>
      <c r="B35" s="39" t="s">
        <v>1210</v>
      </c>
      <c r="C35" s="576"/>
      <c r="D35" s="576"/>
      <c r="E35" s="225"/>
      <c r="F35" s="228"/>
      <c r="G35" s="218"/>
      <c r="H35" s="228"/>
      <c r="I35" s="32">
        <v>17.142857142857142</v>
      </c>
      <c r="J35" s="43">
        <v>2400</v>
      </c>
      <c r="K35" s="18">
        <f t="shared" si="1"/>
        <v>140</v>
      </c>
      <c r="L35" s="32">
        <v>17.142857142857142</v>
      </c>
      <c r="M35" s="19">
        <f>AVERAGE(M28:M34)</f>
        <v>2298.2466276593168</v>
      </c>
      <c r="N35" s="18">
        <f t="shared" si="3"/>
        <v>134.06438661346016</v>
      </c>
      <c r="O35" s="20">
        <f t="shared" si="4"/>
        <v>0</v>
      </c>
      <c r="P35" s="21">
        <f t="shared" si="5"/>
        <v>-5.9356133865398419</v>
      </c>
      <c r="Q35" s="221">
        <f t="shared" si="6"/>
        <v>0.95760276152471546</v>
      </c>
      <c r="R35" s="573"/>
      <c r="S35" s="49"/>
      <c r="T35" s="49"/>
      <c r="U35" s="218"/>
      <c r="V35" s="227"/>
      <c r="W35" s="218"/>
      <c r="X35" s="218"/>
      <c r="Y35" s="33">
        <f>SUM(Y28:Y34)</f>
        <v>0</v>
      </c>
      <c r="Z35" s="33">
        <f>SUM(Z28:Z34)</f>
        <v>0</v>
      </c>
      <c r="AA35" s="572"/>
      <c r="AB35" s="572"/>
      <c r="AC35" s="33">
        <v>7</v>
      </c>
      <c r="AD35" s="33">
        <f>SUM(AD28:AD34)</f>
        <v>0</v>
      </c>
      <c r="AE35" s="20">
        <f t="shared" si="8"/>
        <v>-101.7533723406832</v>
      </c>
      <c r="AF35" s="221">
        <f t="shared" si="9"/>
        <v>0.95760276152471535</v>
      </c>
      <c r="AG35" s="573"/>
    </row>
    <row r="36" spans="1:33" ht="15.75" customHeight="1">
      <c r="A36" s="592" t="s">
        <v>1220</v>
      </c>
      <c r="B36" s="39" t="s">
        <v>94</v>
      </c>
      <c r="C36" s="574" t="s">
        <v>530</v>
      </c>
      <c r="D36" s="574"/>
      <c r="E36" s="39">
        <v>26.18</v>
      </c>
      <c r="F36" s="228">
        <v>4300</v>
      </c>
      <c r="G36" s="218">
        <v>112574</v>
      </c>
      <c r="H36" s="48">
        <v>2</v>
      </c>
      <c r="I36" s="226">
        <v>21</v>
      </c>
      <c r="J36" s="43">
        <v>2400</v>
      </c>
      <c r="K36" s="18">
        <v>114.28571428571429</v>
      </c>
      <c r="L36" s="226">
        <v>21</v>
      </c>
      <c r="M36" s="19">
        <f t="shared" ref="M36:M42" si="27">F36/V36*60</f>
        <v>2283.1858407079653</v>
      </c>
      <c r="N36" s="18">
        <f t="shared" si="3"/>
        <v>108.72313527180788</v>
      </c>
      <c r="O36" s="20">
        <f t="shared" si="4"/>
        <v>0</v>
      </c>
      <c r="P36" s="21">
        <f t="shared" si="5"/>
        <v>-5.5625790139064151</v>
      </c>
      <c r="Q36" s="221">
        <f t="shared" si="6"/>
        <v>0.95132743362831884</v>
      </c>
      <c r="R36" s="573">
        <f>Q43</f>
        <v>0.9540058772878427</v>
      </c>
      <c r="S36" s="49">
        <v>8.3333333333333329E-2</v>
      </c>
      <c r="T36" s="49">
        <v>0.16180555555555554</v>
      </c>
      <c r="U36" s="218"/>
      <c r="V36" s="227">
        <f t="shared" ref="V36:V42" si="28">(T36-S36)*24*60</f>
        <v>112.99999999999997</v>
      </c>
      <c r="W36" s="30">
        <f>T36</f>
        <v>0.16180555555555554</v>
      </c>
      <c r="X36" s="30">
        <f>S37</f>
        <v>0.18194444444444444</v>
      </c>
      <c r="Y36" s="30"/>
      <c r="Z36" s="30"/>
      <c r="AA36" s="575"/>
      <c r="AB36" s="575"/>
      <c r="AC36" s="50">
        <v>7</v>
      </c>
      <c r="AD36" s="27"/>
      <c r="AE36" s="20">
        <f t="shared" si="8"/>
        <v>-116.81415929203467</v>
      </c>
      <c r="AF36" s="221">
        <f t="shared" si="9"/>
        <v>0.95132743362831884</v>
      </c>
      <c r="AG36" s="573">
        <f>AF43</f>
        <v>0.9540058772878427</v>
      </c>
    </row>
    <row r="37" spans="1:33" ht="15.75" customHeight="1">
      <c r="A37" s="592" t="s">
        <v>1220</v>
      </c>
      <c r="B37" s="39" t="s">
        <v>94</v>
      </c>
      <c r="C37" s="574" t="s">
        <v>100</v>
      </c>
      <c r="D37" s="574"/>
      <c r="E37" s="39">
        <v>24.43</v>
      </c>
      <c r="F37" s="228">
        <v>3400</v>
      </c>
      <c r="G37" s="218">
        <v>83062</v>
      </c>
      <c r="H37" s="48">
        <v>2</v>
      </c>
      <c r="I37" s="226">
        <v>14</v>
      </c>
      <c r="J37" s="43">
        <v>2400</v>
      </c>
      <c r="K37" s="18">
        <f t="shared" ref="K37:K43" si="29">J37/I37</f>
        <v>171.42857142857142</v>
      </c>
      <c r="L37" s="226">
        <v>14</v>
      </c>
      <c r="M37" s="19">
        <f t="shared" si="27"/>
        <v>2292.1348314606744</v>
      </c>
      <c r="N37" s="18">
        <f t="shared" si="3"/>
        <v>163.72391653290532</v>
      </c>
      <c r="O37" s="20">
        <f t="shared" si="4"/>
        <v>0</v>
      </c>
      <c r="P37" s="21">
        <f t="shared" si="5"/>
        <v>-7.7046548956660956</v>
      </c>
      <c r="Q37" s="221">
        <f t="shared" si="6"/>
        <v>0.95505617977528112</v>
      </c>
      <c r="R37" s="573"/>
      <c r="S37" s="49">
        <v>0.18194444444444444</v>
      </c>
      <c r="T37" s="49">
        <v>0.24374999999999999</v>
      </c>
      <c r="U37" s="218">
        <f t="shared" ref="U37:U42" si="30">(S37-T36)*24*60</f>
        <v>29.000000000000018</v>
      </c>
      <c r="V37" s="227">
        <f t="shared" si="28"/>
        <v>89</v>
      </c>
      <c r="W37" s="218"/>
      <c r="X37" s="218"/>
      <c r="Y37" s="218"/>
      <c r="Z37" s="218"/>
      <c r="AA37" s="575"/>
      <c r="AB37" s="575"/>
      <c r="AC37" s="50"/>
      <c r="AD37" s="27"/>
      <c r="AE37" s="20">
        <f t="shared" si="8"/>
        <v>-107.86516853932562</v>
      </c>
      <c r="AF37" s="221">
        <f t="shared" si="9"/>
        <v>0.95505617977528101</v>
      </c>
      <c r="AG37" s="573"/>
    </row>
    <row r="38" spans="1:33">
      <c r="A38" s="593" t="s">
        <v>1220</v>
      </c>
      <c r="B38" s="39" t="s">
        <v>94</v>
      </c>
      <c r="C38" s="574" t="s">
        <v>103</v>
      </c>
      <c r="D38" s="574"/>
      <c r="E38" s="39">
        <v>20.2</v>
      </c>
      <c r="F38" s="228">
        <v>2906</v>
      </c>
      <c r="G38" s="218">
        <v>58701.2</v>
      </c>
      <c r="H38" s="48" t="s">
        <v>126</v>
      </c>
      <c r="I38" s="226">
        <v>15</v>
      </c>
      <c r="J38" s="43">
        <v>2400</v>
      </c>
      <c r="K38" s="18">
        <f t="shared" si="29"/>
        <v>160</v>
      </c>
      <c r="L38" s="226">
        <v>15</v>
      </c>
      <c r="M38" s="19">
        <f t="shared" si="27"/>
        <v>2294.2105263157905</v>
      </c>
      <c r="N38" s="18">
        <f t="shared" si="3"/>
        <v>152.94736842105269</v>
      </c>
      <c r="O38" s="20">
        <f t="shared" si="4"/>
        <v>0</v>
      </c>
      <c r="P38" s="21">
        <f t="shared" si="5"/>
        <v>-7.0526315789473131</v>
      </c>
      <c r="Q38" s="221">
        <f t="shared" si="6"/>
        <v>0.95592105263157934</v>
      </c>
      <c r="R38" s="573"/>
      <c r="S38" s="49">
        <v>0.24930555555555556</v>
      </c>
      <c r="T38" s="49">
        <v>0.30208333333333331</v>
      </c>
      <c r="U38" s="218">
        <f t="shared" si="30"/>
        <v>8.0000000000000107</v>
      </c>
      <c r="V38" s="227">
        <f t="shared" si="28"/>
        <v>75.999999999999972</v>
      </c>
      <c r="W38" s="218"/>
      <c r="X38" s="218"/>
      <c r="Y38" s="218"/>
      <c r="Z38" s="218"/>
      <c r="AA38" s="575"/>
      <c r="AB38" s="575"/>
      <c r="AC38" s="50"/>
      <c r="AD38" s="27"/>
      <c r="AE38" s="20">
        <f t="shared" si="8"/>
        <v>-105.7894736842095</v>
      </c>
      <c r="AF38" s="221">
        <f t="shared" si="9"/>
        <v>0.95592105263157934</v>
      </c>
      <c r="AG38" s="573"/>
    </row>
    <row r="39" spans="1:33">
      <c r="A39" s="593" t="s">
        <v>1220</v>
      </c>
      <c r="B39" s="39" t="s">
        <v>94</v>
      </c>
      <c r="C39" s="574" t="s">
        <v>102</v>
      </c>
      <c r="D39" s="574"/>
      <c r="E39" s="39">
        <v>34.1</v>
      </c>
      <c r="F39" s="228">
        <v>5500</v>
      </c>
      <c r="G39" s="218">
        <v>187550</v>
      </c>
      <c r="H39" s="48">
        <v>2</v>
      </c>
      <c r="I39" s="226">
        <v>18</v>
      </c>
      <c r="J39" s="43">
        <v>1600</v>
      </c>
      <c r="K39" s="18">
        <f t="shared" si="29"/>
        <v>88.888888888888886</v>
      </c>
      <c r="L39" s="226">
        <v>18</v>
      </c>
      <c r="M39" s="19">
        <f t="shared" si="27"/>
        <v>1520.7373271889405</v>
      </c>
      <c r="N39" s="18">
        <f t="shared" si="3"/>
        <v>84.485407066052247</v>
      </c>
      <c r="O39" s="20">
        <f t="shared" si="4"/>
        <v>0</v>
      </c>
      <c r="P39" s="21">
        <f t="shared" si="5"/>
        <v>-4.403481822836639</v>
      </c>
      <c r="Q39" s="221">
        <f t="shared" si="6"/>
        <v>0.95046082949308786</v>
      </c>
      <c r="R39" s="573"/>
      <c r="S39" s="49">
        <v>0.30763888888888885</v>
      </c>
      <c r="T39" s="49">
        <v>0.45833333333333326</v>
      </c>
      <c r="U39" s="218">
        <f t="shared" si="30"/>
        <v>7.9999999999999716</v>
      </c>
      <c r="V39" s="227">
        <f t="shared" si="28"/>
        <v>216.99999999999994</v>
      </c>
      <c r="W39" s="25">
        <f>T39</f>
        <v>0.45833333333333326</v>
      </c>
      <c r="X39" s="25">
        <f>S40</f>
        <v>0.49930555555555545</v>
      </c>
      <c r="Y39" s="25"/>
      <c r="Z39" s="25"/>
      <c r="AA39" s="575"/>
      <c r="AB39" s="575"/>
      <c r="AC39" s="50"/>
      <c r="AD39" s="27"/>
      <c r="AE39" s="20">
        <f t="shared" si="8"/>
        <v>-79.262672811059474</v>
      </c>
      <c r="AF39" s="221">
        <f t="shared" si="9"/>
        <v>0.95046082949308786</v>
      </c>
      <c r="AG39" s="573"/>
    </row>
    <row r="40" spans="1:33">
      <c r="A40" s="593" t="s">
        <v>1220</v>
      </c>
      <c r="B40" s="39" t="s">
        <v>94</v>
      </c>
      <c r="C40" s="574" t="s">
        <v>102</v>
      </c>
      <c r="D40" s="574"/>
      <c r="E40" s="39">
        <v>34.1</v>
      </c>
      <c r="F40" s="228">
        <v>1590</v>
      </c>
      <c r="G40" s="218">
        <v>54219</v>
      </c>
      <c r="H40" s="48" t="s">
        <v>126</v>
      </c>
      <c r="I40" s="226">
        <v>18</v>
      </c>
      <c r="J40" s="43">
        <v>1600</v>
      </c>
      <c r="K40" s="18">
        <f t="shared" si="29"/>
        <v>88.888888888888886</v>
      </c>
      <c r="L40" s="226">
        <v>18</v>
      </c>
      <c r="M40" s="19">
        <f t="shared" si="27"/>
        <v>1538.7096774193562</v>
      </c>
      <c r="N40" s="18">
        <f t="shared" si="3"/>
        <v>85.483870967742007</v>
      </c>
      <c r="O40" s="20">
        <f t="shared" si="4"/>
        <v>0</v>
      </c>
      <c r="P40" s="21">
        <f t="shared" si="5"/>
        <v>-3.4050179211468787</v>
      </c>
      <c r="Q40" s="221">
        <f t="shared" si="6"/>
        <v>0.96169354838709764</v>
      </c>
      <c r="R40" s="573"/>
      <c r="S40" s="49">
        <v>0.49930555555555545</v>
      </c>
      <c r="T40" s="49">
        <v>0.54236111111111096</v>
      </c>
      <c r="U40" s="218">
        <f t="shared" si="30"/>
        <v>58.99999999999995</v>
      </c>
      <c r="V40" s="227">
        <f t="shared" si="28"/>
        <v>61.999999999999943</v>
      </c>
      <c r="W40" s="25"/>
      <c r="X40" s="25"/>
      <c r="Y40" s="25"/>
      <c r="Z40" s="25"/>
      <c r="AA40" s="575"/>
      <c r="AB40" s="575"/>
      <c r="AC40" s="50"/>
      <c r="AD40" s="27"/>
      <c r="AE40" s="20">
        <f t="shared" si="8"/>
        <v>-61.29032258064376</v>
      </c>
      <c r="AF40" s="221">
        <f t="shared" si="9"/>
        <v>0.96169354838709764</v>
      </c>
      <c r="AG40" s="573"/>
    </row>
    <row r="41" spans="1:33">
      <c r="A41" s="593" t="s">
        <v>1220</v>
      </c>
      <c r="B41" s="39" t="s">
        <v>94</v>
      </c>
      <c r="C41" s="574" t="s">
        <v>100</v>
      </c>
      <c r="D41" s="574"/>
      <c r="E41" s="39">
        <v>24.43</v>
      </c>
      <c r="F41" s="228">
        <v>5531</v>
      </c>
      <c r="G41" s="218">
        <v>135122.32999999999</v>
      </c>
      <c r="H41" s="48" t="s">
        <v>126</v>
      </c>
      <c r="I41" s="226">
        <v>14</v>
      </c>
      <c r="J41" s="43">
        <v>2400</v>
      </c>
      <c r="K41" s="18">
        <f t="shared" si="29"/>
        <v>171.42857142857142</v>
      </c>
      <c r="L41" s="226">
        <v>14</v>
      </c>
      <c r="M41" s="19">
        <f t="shared" si="27"/>
        <v>2288.6896551724139</v>
      </c>
      <c r="N41" s="18">
        <f t="shared" si="3"/>
        <v>163.47783251231527</v>
      </c>
      <c r="O41" s="20">
        <f t="shared" si="4"/>
        <v>0</v>
      </c>
      <c r="P41" s="21">
        <f t="shared" si="5"/>
        <v>-7.9507389162561424</v>
      </c>
      <c r="Q41" s="221">
        <f t="shared" si="6"/>
        <v>0.95362068965517255</v>
      </c>
      <c r="R41" s="573"/>
      <c r="S41" s="49">
        <v>0.5479166666666665</v>
      </c>
      <c r="T41" s="49">
        <v>0.64861111111111092</v>
      </c>
      <c r="U41" s="218">
        <f t="shared" si="30"/>
        <v>7.9999999999999716</v>
      </c>
      <c r="V41" s="227">
        <f t="shared" si="28"/>
        <v>144.99999999999997</v>
      </c>
      <c r="W41" s="25"/>
      <c r="X41" s="25"/>
      <c r="Y41" s="25"/>
      <c r="Z41" s="25"/>
      <c r="AA41" s="575"/>
      <c r="AB41" s="575"/>
      <c r="AC41" s="50"/>
      <c r="AD41" s="27"/>
      <c r="AE41" s="20">
        <f t="shared" si="8"/>
        <v>-111.31034482758605</v>
      </c>
      <c r="AF41" s="221">
        <f t="shared" si="9"/>
        <v>0.95362068965517244</v>
      </c>
      <c r="AG41" s="573"/>
    </row>
    <row r="42" spans="1:33">
      <c r="A42" s="593" t="s">
        <v>1220</v>
      </c>
      <c r="B42" s="39" t="s">
        <v>94</v>
      </c>
      <c r="C42" s="574" t="s">
        <v>530</v>
      </c>
      <c r="D42" s="574"/>
      <c r="E42" s="39">
        <v>26.18</v>
      </c>
      <c r="F42" s="228">
        <v>5670</v>
      </c>
      <c r="G42" s="218">
        <v>148440.6</v>
      </c>
      <c r="H42" s="48" t="s">
        <v>126</v>
      </c>
      <c r="I42" s="226">
        <v>21</v>
      </c>
      <c r="J42" s="43">
        <v>2400</v>
      </c>
      <c r="K42" s="18">
        <f t="shared" si="29"/>
        <v>114.28571428571429</v>
      </c>
      <c r="L42" s="226">
        <v>21</v>
      </c>
      <c r="M42" s="19">
        <f t="shared" si="27"/>
        <v>2283.221476510068</v>
      </c>
      <c r="N42" s="18">
        <f t="shared" si="3"/>
        <v>108.72483221476514</v>
      </c>
      <c r="O42" s="20">
        <f t="shared" si="4"/>
        <v>0</v>
      </c>
      <c r="P42" s="21">
        <f t="shared" si="5"/>
        <v>-5.5608820709491482</v>
      </c>
      <c r="Q42" s="221">
        <f t="shared" si="6"/>
        <v>0.95134228187919501</v>
      </c>
      <c r="R42" s="573"/>
      <c r="S42" s="49">
        <v>0.65277777777777757</v>
      </c>
      <c r="T42" s="49">
        <v>0.75624999999999976</v>
      </c>
      <c r="U42" s="218">
        <f t="shared" si="30"/>
        <v>5.9999999999999787</v>
      </c>
      <c r="V42" s="227">
        <f t="shared" si="28"/>
        <v>148.99999999999994</v>
      </c>
      <c r="W42" s="25"/>
      <c r="X42" s="25"/>
      <c r="Y42" s="28"/>
      <c r="Z42" s="28"/>
      <c r="AA42" s="568"/>
      <c r="AB42" s="569"/>
      <c r="AC42" s="50"/>
      <c r="AD42" s="27"/>
      <c r="AE42" s="20">
        <f t="shared" si="8"/>
        <v>-116.77852348993201</v>
      </c>
      <c r="AF42" s="221">
        <f t="shared" si="9"/>
        <v>0.95134228187919501</v>
      </c>
      <c r="AG42" s="573"/>
    </row>
    <row r="43" spans="1:33">
      <c r="A43" s="593" t="s">
        <v>1220</v>
      </c>
      <c r="B43" s="42" t="s">
        <v>1210</v>
      </c>
      <c r="C43" s="576"/>
      <c r="D43" s="576"/>
      <c r="E43" s="225"/>
      <c r="F43" s="42"/>
      <c r="G43" s="18"/>
      <c r="H43" s="228"/>
      <c r="I43" s="32">
        <v>17</v>
      </c>
      <c r="J43" s="43">
        <v>2171.4285714285716</v>
      </c>
      <c r="K43" s="18">
        <f t="shared" si="29"/>
        <v>127.73109243697479</v>
      </c>
      <c r="L43" s="32">
        <v>17</v>
      </c>
      <c r="M43" s="19">
        <f>AVERAGE(M36:M42)</f>
        <v>2071.5556192536014</v>
      </c>
      <c r="N43" s="18">
        <f t="shared" si="3"/>
        <v>121.85621289727067</v>
      </c>
      <c r="O43" s="20">
        <f t="shared" si="4"/>
        <v>0</v>
      </c>
      <c r="P43" s="21">
        <f t="shared" si="5"/>
        <v>-5.8748795397041249</v>
      </c>
      <c r="Q43" s="221">
        <f t="shared" si="6"/>
        <v>0.9540058772878427</v>
      </c>
      <c r="R43" s="573"/>
      <c r="S43" s="49"/>
      <c r="T43" s="49"/>
      <c r="U43" s="18"/>
      <c r="V43" s="227"/>
      <c r="W43" s="18"/>
      <c r="X43" s="18"/>
      <c r="Y43" s="33">
        <f>SUM(Y36:Y42)</f>
        <v>0</v>
      </c>
      <c r="Z43" s="33">
        <f>SUM(Z36:Z42)</f>
        <v>0</v>
      </c>
      <c r="AA43" s="572"/>
      <c r="AB43" s="572"/>
      <c r="AC43" s="33">
        <v>7</v>
      </c>
      <c r="AD43" s="33">
        <f>SUM(AD36:AD42)</f>
        <v>0</v>
      </c>
      <c r="AE43" s="20">
        <f t="shared" si="8"/>
        <v>-99.872952174970123</v>
      </c>
      <c r="AF43" s="221">
        <f t="shared" si="9"/>
        <v>0.9540058772878427</v>
      </c>
      <c r="AG43" s="573"/>
    </row>
    <row r="44" spans="1:33" ht="15.75" customHeight="1">
      <c r="A44" s="589" t="s">
        <v>1221</v>
      </c>
      <c r="B44" s="39" t="s">
        <v>104</v>
      </c>
      <c r="C44" s="566" t="s">
        <v>105</v>
      </c>
      <c r="D44" s="567"/>
      <c r="E44" s="39">
        <v>37.880000000000003</v>
      </c>
      <c r="F44" s="228">
        <v>3243</v>
      </c>
      <c r="G44" s="218">
        <f t="shared" ref="G44:G47" si="31">E44*F44</f>
        <v>122844.84000000001</v>
      </c>
      <c r="H44" s="48" t="s">
        <v>126</v>
      </c>
      <c r="I44" s="226">
        <v>13</v>
      </c>
      <c r="J44" s="43">
        <v>2000</v>
      </c>
      <c r="K44" s="18">
        <f t="shared" si="1"/>
        <v>153.84615384615384</v>
      </c>
      <c r="L44" s="226">
        <v>13</v>
      </c>
      <c r="M44" s="19">
        <f t="shared" ref="M44:M47" si="32">F44/V44*60</f>
        <v>1907.6470588235291</v>
      </c>
      <c r="N44" s="19">
        <f t="shared" si="3"/>
        <v>146.74208144796378</v>
      </c>
      <c r="O44" s="20">
        <f t="shared" si="4"/>
        <v>0</v>
      </c>
      <c r="P44" s="21">
        <f t="shared" si="5"/>
        <v>-7.1040723981900555</v>
      </c>
      <c r="Q44" s="221">
        <f t="shared" si="6"/>
        <v>0.95382352941176463</v>
      </c>
      <c r="R44" s="584">
        <f>Q48</f>
        <v>0.95495841042387564</v>
      </c>
      <c r="S44" s="49">
        <v>8.3333333333333329E-2</v>
      </c>
      <c r="T44" s="49">
        <v>0.15416666666666667</v>
      </c>
      <c r="U44" s="30"/>
      <c r="V44" s="227">
        <f t="shared" ref="V44:V47" si="33">(T44-S44)*24*60</f>
        <v>102.00000000000001</v>
      </c>
      <c r="W44" s="25">
        <f>T44</f>
        <v>0.15416666666666667</v>
      </c>
      <c r="X44" s="25">
        <f>S45</f>
        <v>0.17500000000000002</v>
      </c>
      <c r="Y44" s="28"/>
      <c r="Z44" s="28"/>
      <c r="AA44" s="568"/>
      <c r="AB44" s="569"/>
      <c r="AC44" s="50">
        <v>4</v>
      </c>
      <c r="AD44" s="27"/>
      <c r="AE44" s="20">
        <f t="shared" si="8"/>
        <v>-92.352941176470949</v>
      </c>
      <c r="AF44" s="221">
        <f t="shared" si="9"/>
        <v>0.95382352941176451</v>
      </c>
      <c r="AG44" s="584">
        <f>AF48</f>
        <v>0.95495841042387575</v>
      </c>
    </row>
    <row r="45" spans="1:33" ht="15.75" customHeight="1">
      <c r="A45" s="590" t="s">
        <v>61</v>
      </c>
      <c r="B45" s="39" t="s">
        <v>104</v>
      </c>
      <c r="C45" s="566" t="s">
        <v>106</v>
      </c>
      <c r="D45" s="567"/>
      <c r="E45" s="39">
        <v>35.119999999999997</v>
      </c>
      <c r="F45" s="228">
        <v>6112</v>
      </c>
      <c r="G45" s="218">
        <f t="shared" si="31"/>
        <v>214653.43999999997</v>
      </c>
      <c r="H45" s="48" t="s">
        <v>126</v>
      </c>
      <c r="I45" s="226">
        <v>10</v>
      </c>
      <c r="J45" s="43">
        <v>3000</v>
      </c>
      <c r="K45" s="18">
        <f t="shared" si="1"/>
        <v>300</v>
      </c>
      <c r="L45" s="226">
        <v>10</v>
      </c>
      <c r="M45" s="19">
        <f t="shared" si="32"/>
        <v>2865.0000000000005</v>
      </c>
      <c r="N45" s="19">
        <f t="shared" si="3"/>
        <v>286.50000000000006</v>
      </c>
      <c r="O45" s="20">
        <f t="shared" si="4"/>
        <v>0</v>
      </c>
      <c r="P45" s="21">
        <f t="shared" si="5"/>
        <v>-13.499999999999943</v>
      </c>
      <c r="Q45" s="221">
        <f t="shared" si="6"/>
        <v>0.95500000000000018</v>
      </c>
      <c r="R45" s="585"/>
      <c r="S45" s="49">
        <v>0.17500000000000002</v>
      </c>
      <c r="T45" s="49">
        <v>0.2638888888888889</v>
      </c>
      <c r="U45" s="218">
        <f t="shared" ref="U45:U47" si="34">(S45-T44)*24*60</f>
        <v>30.000000000000014</v>
      </c>
      <c r="V45" s="227">
        <f t="shared" si="33"/>
        <v>127.99999999999997</v>
      </c>
      <c r="W45" s="25"/>
      <c r="X45" s="25"/>
      <c r="Y45" s="28"/>
      <c r="Z45" s="28"/>
      <c r="AA45" s="568"/>
      <c r="AB45" s="569"/>
      <c r="AC45" s="50"/>
      <c r="AD45" s="27"/>
      <c r="AE45" s="20">
        <f t="shared" si="8"/>
        <v>-134.99999999999955</v>
      </c>
      <c r="AF45" s="221">
        <f t="shared" si="9"/>
        <v>0.95500000000000018</v>
      </c>
      <c r="AG45" s="585"/>
    </row>
    <row r="46" spans="1:33" ht="15.75" customHeight="1">
      <c r="A46" s="590" t="s">
        <v>1222</v>
      </c>
      <c r="B46" s="39" t="s">
        <v>104</v>
      </c>
      <c r="C46" s="566" t="s">
        <v>107</v>
      </c>
      <c r="D46" s="567"/>
      <c r="E46" s="39">
        <v>21.13</v>
      </c>
      <c r="F46" s="228">
        <v>6074</v>
      </c>
      <c r="G46" s="218">
        <f t="shared" si="31"/>
        <v>128343.62</v>
      </c>
      <c r="H46" s="48" t="s">
        <v>126</v>
      </c>
      <c r="I46" s="226">
        <v>10</v>
      </c>
      <c r="J46" s="43">
        <v>3000</v>
      </c>
      <c r="K46" s="18">
        <f t="shared" si="1"/>
        <v>300</v>
      </c>
      <c r="L46" s="226">
        <v>10</v>
      </c>
      <c r="M46" s="19">
        <f t="shared" si="32"/>
        <v>2869.6062992125976</v>
      </c>
      <c r="N46" s="19">
        <f t="shared" si="3"/>
        <v>286.96062992125974</v>
      </c>
      <c r="O46" s="20">
        <f t="shared" si="4"/>
        <v>0</v>
      </c>
      <c r="P46" s="21">
        <f t="shared" si="5"/>
        <v>-13.039370078740262</v>
      </c>
      <c r="Q46" s="221">
        <f t="shared" si="6"/>
        <v>0.95653543307086575</v>
      </c>
      <c r="R46" s="585"/>
      <c r="S46" s="49">
        <v>0.26805555555555555</v>
      </c>
      <c r="T46" s="49">
        <v>0.35625000000000001</v>
      </c>
      <c r="U46" s="218">
        <f t="shared" si="34"/>
        <v>5.9999999999999787</v>
      </c>
      <c r="V46" s="227">
        <f t="shared" si="33"/>
        <v>127.00000000000003</v>
      </c>
      <c r="W46" s="25"/>
      <c r="X46" s="25"/>
      <c r="Y46" s="28"/>
      <c r="Z46" s="28"/>
      <c r="AA46" s="568"/>
      <c r="AB46" s="569"/>
      <c r="AC46" s="50"/>
      <c r="AD46" s="27"/>
      <c r="AE46" s="20">
        <f t="shared" si="8"/>
        <v>-130.39370078740239</v>
      </c>
      <c r="AF46" s="221">
        <f t="shared" si="9"/>
        <v>0.95653543307086586</v>
      </c>
      <c r="AG46" s="585"/>
    </row>
    <row r="47" spans="1:33" ht="15.75" customHeight="1">
      <c r="A47" s="590" t="s">
        <v>61</v>
      </c>
      <c r="B47" s="39" t="s">
        <v>104</v>
      </c>
      <c r="C47" s="566" t="s">
        <v>108</v>
      </c>
      <c r="D47" s="567"/>
      <c r="E47" s="39">
        <v>27.17</v>
      </c>
      <c r="F47" s="228">
        <v>7919</v>
      </c>
      <c r="G47" s="218">
        <f t="shared" si="31"/>
        <v>215159.23</v>
      </c>
      <c r="H47" s="48" t="s">
        <v>126</v>
      </c>
      <c r="I47" s="226">
        <v>10</v>
      </c>
      <c r="J47" s="43">
        <v>3000</v>
      </c>
      <c r="K47" s="18">
        <f t="shared" si="1"/>
        <v>300</v>
      </c>
      <c r="L47" s="226">
        <v>10</v>
      </c>
      <c r="M47" s="19">
        <f t="shared" si="32"/>
        <v>2862.2891566265066</v>
      </c>
      <c r="N47" s="19">
        <f t="shared" si="3"/>
        <v>286.22891566265065</v>
      </c>
      <c r="O47" s="20">
        <f t="shared" si="4"/>
        <v>0</v>
      </c>
      <c r="P47" s="21">
        <f t="shared" si="5"/>
        <v>-13.77108433734935</v>
      </c>
      <c r="Q47" s="221">
        <f t="shared" si="6"/>
        <v>0.9540963855421688</v>
      </c>
      <c r="R47" s="585"/>
      <c r="S47" s="49">
        <v>0.35972222222222222</v>
      </c>
      <c r="T47" s="49">
        <v>0.47499999999999998</v>
      </c>
      <c r="U47" s="218">
        <f t="shared" si="34"/>
        <v>4.9999999999999822</v>
      </c>
      <c r="V47" s="227">
        <f t="shared" si="33"/>
        <v>165.99999999999997</v>
      </c>
      <c r="W47" s="25"/>
      <c r="X47" s="25"/>
      <c r="Y47" s="28"/>
      <c r="Z47" s="28"/>
      <c r="AA47" s="568"/>
      <c r="AB47" s="569"/>
      <c r="AC47" s="50"/>
      <c r="AD47" s="27"/>
      <c r="AE47" s="20">
        <f t="shared" si="8"/>
        <v>-137.71084337349339</v>
      </c>
      <c r="AF47" s="221">
        <f t="shared" si="9"/>
        <v>0.95409638554216891</v>
      </c>
      <c r="AG47" s="585"/>
    </row>
    <row r="48" spans="1:33" ht="15.75" customHeight="1">
      <c r="A48" s="591" t="s">
        <v>1222</v>
      </c>
      <c r="B48" s="39" t="s">
        <v>1223</v>
      </c>
      <c r="C48" s="570"/>
      <c r="D48" s="571"/>
      <c r="E48" s="219"/>
      <c r="F48" s="228"/>
      <c r="G48" s="218"/>
      <c r="H48" s="228"/>
      <c r="I48" s="32">
        <v>10.75</v>
      </c>
      <c r="J48" s="43">
        <v>2750</v>
      </c>
      <c r="K48" s="18">
        <f t="shared" si="1"/>
        <v>255.81395348837211</v>
      </c>
      <c r="L48" s="32">
        <v>10.75</v>
      </c>
      <c r="M48" s="19">
        <f>AVERAGE(M44:M47)</f>
        <v>2626.1356286656583</v>
      </c>
      <c r="N48" s="18">
        <f t="shared" si="3"/>
        <v>244.29168638750309</v>
      </c>
      <c r="O48" s="20">
        <f t="shared" si="4"/>
        <v>0</v>
      </c>
      <c r="P48" s="21">
        <f t="shared" si="5"/>
        <v>-11.522267100869016</v>
      </c>
      <c r="Q48" s="221">
        <f t="shared" si="6"/>
        <v>0.95495841042387564</v>
      </c>
      <c r="R48" s="586"/>
      <c r="S48" s="49"/>
      <c r="T48" s="49"/>
      <c r="U48" s="218"/>
      <c r="V48" s="227"/>
      <c r="W48" s="25"/>
      <c r="X48" s="25"/>
      <c r="Y48" s="33">
        <f>SUM(Y44:Y47)</f>
        <v>0</v>
      </c>
      <c r="Z48" s="33">
        <f>SUM(Z44:Z47)</f>
        <v>0</v>
      </c>
      <c r="AA48" s="587"/>
      <c r="AB48" s="588"/>
      <c r="AC48" s="33">
        <v>4</v>
      </c>
      <c r="AD48" s="33">
        <f>SUM(AD44:AD47)</f>
        <v>0</v>
      </c>
      <c r="AE48" s="20">
        <f t="shared" si="8"/>
        <v>-123.86437133434174</v>
      </c>
      <c r="AF48" s="221">
        <f t="shared" si="9"/>
        <v>0.95495841042387575</v>
      </c>
      <c r="AG48" s="586"/>
    </row>
    <row r="49" spans="1:33" ht="15.75" customHeight="1">
      <c r="A49" s="582" t="s">
        <v>1224</v>
      </c>
      <c r="B49" s="39" t="s">
        <v>79</v>
      </c>
      <c r="C49" s="574" t="s">
        <v>109</v>
      </c>
      <c r="D49" s="574"/>
      <c r="E49" s="39">
        <v>46</v>
      </c>
      <c r="F49" s="45">
        <v>2564</v>
      </c>
      <c r="G49" s="218">
        <f t="shared" ref="G49:G55" si="35">E49*F49</f>
        <v>117944</v>
      </c>
      <c r="H49" s="48" t="s">
        <v>126</v>
      </c>
      <c r="I49" s="226">
        <v>17</v>
      </c>
      <c r="J49" s="43">
        <v>2000</v>
      </c>
      <c r="K49" s="18">
        <f t="shared" si="1"/>
        <v>117.64705882352941</v>
      </c>
      <c r="L49" s="226">
        <v>17</v>
      </c>
      <c r="M49" s="19">
        <f t="shared" ref="M49" si="36">F49/V49*60</f>
        <v>1922.9999999999998</v>
      </c>
      <c r="N49" s="19">
        <f t="shared" si="3"/>
        <v>113.11764705882352</v>
      </c>
      <c r="O49" s="20">
        <f t="shared" si="4"/>
        <v>0</v>
      </c>
      <c r="P49" s="21">
        <f t="shared" si="5"/>
        <v>-4.529411764705884</v>
      </c>
      <c r="Q49" s="221">
        <f t="shared" si="6"/>
        <v>0.96150000000000002</v>
      </c>
      <c r="R49" s="573">
        <f>Q56</f>
        <v>0.96189848764671282</v>
      </c>
      <c r="S49" s="49">
        <v>0.20833333333333334</v>
      </c>
      <c r="T49" s="49">
        <v>0.2638888888888889</v>
      </c>
      <c r="U49" s="30"/>
      <c r="V49" s="227">
        <f t="shared" ref="V49:V55" si="37">(T49-S49)*24*60</f>
        <v>80</v>
      </c>
      <c r="W49" s="30"/>
      <c r="X49" s="30"/>
      <c r="Y49" s="30"/>
      <c r="Z49" s="30"/>
      <c r="AA49" s="575"/>
      <c r="AB49" s="575"/>
      <c r="AC49" s="50">
        <v>7</v>
      </c>
      <c r="AD49" s="27"/>
      <c r="AE49" s="20">
        <f t="shared" si="8"/>
        <v>-77.000000000000227</v>
      </c>
      <c r="AF49" s="221">
        <f t="shared" si="9"/>
        <v>0.96149999999999991</v>
      </c>
      <c r="AG49" s="573">
        <f>AF56</f>
        <v>0.96189848764671271</v>
      </c>
    </row>
    <row r="50" spans="1:33" ht="15.75" customHeight="1">
      <c r="A50" s="582" t="s">
        <v>1224</v>
      </c>
      <c r="B50" s="39" t="s">
        <v>74</v>
      </c>
      <c r="C50" s="574" t="s">
        <v>110</v>
      </c>
      <c r="D50" s="574"/>
      <c r="E50" s="39">
        <v>56.43</v>
      </c>
      <c r="F50" s="45">
        <v>1630</v>
      </c>
      <c r="G50" s="218">
        <f t="shared" si="35"/>
        <v>91980.9</v>
      </c>
      <c r="H50" s="48" t="s">
        <v>126</v>
      </c>
      <c r="I50" s="226">
        <v>22</v>
      </c>
      <c r="J50" s="43">
        <v>2000</v>
      </c>
      <c r="K50" s="18">
        <f t="shared" si="1"/>
        <v>90.909090909090907</v>
      </c>
      <c r="L50" s="226">
        <v>22</v>
      </c>
      <c r="M50" s="19">
        <f>F50/V50*60</f>
        <v>1917.6470588235302</v>
      </c>
      <c r="N50" s="19">
        <f t="shared" si="3"/>
        <v>87.165775401069553</v>
      </c>
      <c r="O50" s="20">
        <f t="shared" si="4"/>
        <v>0</v>
      </c>
      <c r="P50" s="21">
        <f t="shared" si="5"/>
        <v>-3.7433155080213538</v>
      </c>
      <c r="Q50" s="221">
        <f t="shared" si="6"/>
        <v>0.95882352941176507</v>
      </c>
      <c r="R50" s="573"/>
      <c r="S50" s="49">
        <v>0.2673611111111111</v>
      </c>
      <c r="T50" s="49">
        <v>0.30277777777777776</v>
      </c>
      <c r="U50" s="218">
        <f t="shared" ref="U50:U55" si="38">IF(S50=TIME(17,0,0),"",(S50-T49)*24*60)</f>
        <v>4.9999999999999822</v>
      </c>
      <c r="V50" s="227">
        <f t="shared" si="37"/>
        <v>50.999999999999979</v>
      </c>
      <c r="W50" s="25"/>
      <c r="X50" s="25"/>
      <c r="Y50" s="25"/>
      <c r="Z50" s="25"/>
      <c r="AA50" s="575"/>
      <c r="AB50" s="575"/>
      <c r="AC50" s="50"/>
      <c r="AD50" s="27"/>
      <c r="AE50" s="20">
        <f t="shared" si="8"/>
        <v>-82.352941176469812</v>
      </c>
      <c r="AF50" s="221">
        <f t="shared" si="9"/>
        <v>0.95882352941176507</v>
      </c>
      <c r="AG50" s="573"/>
    </row>
    <row r="51" spans="1:33" ht="15.75" customHeight="1">
      <c r="A51" s="582" t="s">
        <v>1225</v>
      </c>
      <c r="B51" s="39" t="s">
        <v>74</v>
      </c>
      <c r="C51" s="566" t="s">
        <v>111</v>
      </c>
      <c r="D51" s="567"/>
      <c r="E51" s="39">
        <v>51.75</v>
      </c>
      <c r="F51" s="45">
        <v>909</v>
      </c>
      <c r="G51" s="218">
        <f t="shared" si="35"/>
        <v>47040.75</v>
      </c>
      <c r="H51" s="48" t="s">
        <v>126</v>
      </c>
      <c r="I51" s="226">
        <v>25</v>
      </c>
      <c r="J51" s="43">
        <v>2000</v>
      </c>
      <c r="K51" s="18">
        <f t="shared" si="1"/>
        <v>80</v>
      </c>
      <c r="L51" s="226">
        <v>25</v>
      </c>
      <c r="M51" s="19">
        <f t="shared" ref="M51:M55" si="39">F51/V51*60</f>
        <v>1947.8571428571443</v>
      </c>
      <c r="N51" s="19">
        <f t="shared" si="3"/>
        <v>77.914285714285768</v>
      </c>
      <c r="O51" s="20">
        <f t="shared" si="4"/>
        <v>0</v>
      </c>
      <c r="P51" s="21">
        <f t="shared" si="5"/>
        <v>-2.0857142857142321</v>
      </c>
      <c r="Q51" s="221">
        <f t="shared" si="6"/>
        <v>0.97392857142857214</v>
      </c>
      <c r="R51" s="573"/>
      <c r="S51" s="49">
        <v>0.30833333333333329</v>
      </c>
      <c r="T51" s="49">
        <v>0.32777777777777772</v>
      </c>
      <c r="U51" s="218">
        <f t="shared" si="38"/>
        <v>7.9999999999999716</v>
      </c>
      <c r="V51" s="227">
        <f t="shared" si="37"/>
        <v>27.999999999999979</v>
      </c>
      <c r="W51" s="25"/>
      <c r="X51" s="25"/>
      <c r="Y51" s="28"/>
      <c r="Z51" s="28"/>
      <c r="AA51" s="575"/>
      <c r="AB51" s="575"/>
      <c r="AC51" s="50"/>
      <c r="AD51" s="27"/>
      <c r="AE51" s="20">
        <f t="shared" si="8"/>
        <v>-52.142857142855746</v>
      </c>
      <c r="AF51" s="221">
        <f t="shared" si="9"/>
        <v>0.97392857142857214</v>
      </c>
      <c r="AG51" s="573"/>
    </row>
    <row r="52" spans="1:33" ht="15.75" customHeight="1">
      <c r="A52" s="582" t="s">
        <v>1224</v>
      </c>
      <c r="B52" s="39" t="s">
        <v>74</v>
      </c>
      <c r="C52" s="222" t="s">
        <v>88</v>
      </c>
      <c r="D52" s="223"/>
      <c r="E52" s="39">
        <v>59.04</v>
      </c>
      <c r="F52" s="45">
        <v>6135</v>
      </c>
      <c r="G52" s="218">
        <f t="shared" si="35"/>
        <v>362210.4</v>
      </c>
      <c r="H52" s="48" t="s">
        <v>126</v>
      </c>
      <c r="I52" s="226">
        <v>19</v>
      </c>
      <c r="J52" s="43">
        <v>2000</v>
      </c>
      <c r="K52" s="18">
        <f t="shared" si="1"/>
        <v>105.26315789473684</v>
      </c>
      <c r="L52" s="226">
        <v>19</v>
      </c>
      <c r="M52" s="19">
        <f t="shared" si="39"/>
        <v>1907.2538860103632</v>
      </c>
      <c r="N52" s="19">
        <f t="shared" si="3"/>
        <v>100.38178347422964</v>
      </c>
      <c r="O52" s="20">
        <f t="shared" si="4"/>
        <v>0</v>
      </c>
      <c r="P52" s="21">
        <f t="shared" si="5"/>
        <v>-4.8813744205071998</v>
      </c>
      <c r="Q52" s="221">
        <f t="shared" si="6"/>
        <v>0.95362694300518158</v>
      </c>
      <c r="R52" s="573"/>
      <c r="S52" s="49">
        <v>0.33263888888888882</v>
      </c>
      <c r="T52" s="49">
        <v>0.46666666666666656</v>
      </c>
      <c r="U52" s="218">
        <f t="shared" si="38"/>
        <v>6.9999999999999751</v>
      </c>
      <c r="V52" s="227">
        <f t="shared" si="37"/>
        <v>192.99999999999994</v>
      </c>
      <c r="W52" s="25"/>
      <c r="X52" s="25"/>
      <c r="Y52" s="28"/>
      <c r="Z52" s="28"/>
      <c r="AA52" s="575"/>
      <c r="AB52" s="575"/>
      <c r="AC52" s="50"/>
      <c r="AD52" s="27"/>
      <c r="AE52" s="20">
        <f t="shared" si="8"/>
        <v>-92.746113989636797</v>
      </c>
      <c r="AF52" s="221">
        <f t="shared" si="9"/>
        <v>0.95362694300518158</v>
      </c>
      <c r="AG52" s="573"/>
    </row>
    <row r="53" spans="1:33" ht="15.75" customHeight="1">
      <c r="A53" s="582" t="s">
        <v>1224</v>
      </c>
      <c r="B53" s="39" t="s">
        <v>74</v>
      </c>
      <c r="C53" s="222" t="s">
        <v>112</v>
      </c>
      <c r="D53" s="223"/>
      <c r="E53" s="39">
        <v>55.32</v>
      </c>
      <c r="F53" s="45">
        <v>1633</v>
      </c>
      <c r="G53" s="218">
        <f t="shared" si="35"/>
        <v>90337.56</v>
      </c>
      <c r="H53" s="48" t="s">
        <v>126</v>
      </c>
      <c r="I53" s="226">
        <v>15</v>
      </c>
      <c r="J53" s="43">
        <v>2000</v>
      </c>
      <c r="K53" s="18">
        <f t="shared" si="1"/>
        <v>133.33333333333334</v>
      </c>
      <c r="L53" s="226">
        <v>15</v>
      </c>
      <c r="M53" s="19">
        <f t="shared" si="39"/>
        <v>1921.176470588236</v>
      </c>
      <c r="N53" s="19">
        <f t="shared" si="3"/>
        <v>128.07843137254906</v>
      </c>
      <c r="O53" s="20">
        <f t="shared" si="4"/>
        <v>0</v>
      </c>
      <c r="P53" s="21">
        <f t="shared" si="5"/>
        <v>-5.2549019607842808</v>
      </c>
      <c r="Q53" s="221">
        <f t="shared" si="6"/>
        <v>0.96058823529411785</v>
      </c>
      <c r="R53" s="573"/>
      <c r="S53" s="49">
        <v>0.70833333333333337</v>
      </c>
      <c r="T53" s="49">
        <v>0.74375000000000002</v>
      </c>
      <c r="U53" s="218" t="str">
        <f t="shared" si="38"/>
        <v/>
      </c>
      <c r="V53" s="227">
        <f t="shared" si="37"/>
        <v>50.999999999999979</v>
      </c>
      <c r="W53" s="25"/>
      <c r="X53" s="25"/>
      <c r="Y53" s="28"/>
      <c r="Z53" s="28"/>
      <c r="AA53" s="575"/>
      <c r="AB53" s="575"/>
      <c r="AC53" s="50"/>
      <c r="AD53" s="27"/>
      <c r="AE53" s="20">
        <f t="shared" si="8"/>
        <v>-78.823529411763957</v>
      </c>
      <c r="AF53" s="221">
        <f t="shared" si="9"/>
        <v>0.96058823529411808</v>
      </c>
      <c r="AG53" s="573"/>
    </row>
    <row r="54" spans="1:33" ht="15.75" customHeight="1">
      <c r="A54" s="582" t="s">
        <v>1224</v>
      </c>
      <c r="B54" s="39" t="s">
        <v>74</v>
      </c>
      <c r="C54" s="566" t="s">
        <v>113</v>
      </c>
      <c r="D54" s="567"/>
      <c r="E54" s="39">
        <v>55.56</v>
      </c>
      <c r="F54" s="45">
        <v>2217</v>
      </c>
      <c r="G54" s="218">
        <f t="shared" si="35"/>
        <v>123176.52</v>
      </c>
      <c r="H54" s="48" t="s">
        <v>126</v>
      </c>
      <c r="I54" s="226">
        <v>17</v>
      </c>
      <c r="J54" s="43">
        <v>2000</v>
      </c>
      <c r="K54" s="18">
        <f t="shared" si="1"/>
        <v>117.64705882352941</v>
      </c>
      <c r="L54" s="226">
        <v>17</v>
      </c>
      <c r="M54" s="19">
        <f t="shared" si="39"/>
        <v>1927.8260869565243</v>
      </c>
      <c r="N54" s="19">
        <f t="shared" si="3"/>
        <v>113.40153452685436</v>
      </c>
      <c r="O54" s="20">
        <f t="shared" si="4"/>
        <v>0</v>
      </c>
      <c r="P54" s="21">
        <f t="shared" si="5"/>
        <v>-4.2455242966750433</v>
      </c>
      <c r="Q54" s="221">
        <f t="shared" si="6"/>
        <v>0.96391304347826212</v>
      </c>
      <c r="R54" s="573"/>
      <c r="S54" s="49">
        <v>0.74722222222222223</v>
      </c>
      <c r="T54" s="49">
        <v>0.79513888888888884</v>
      </c>
      <c r="U54" s="218">
        <f t="shared" si="38"/>
        <v>4.9999999999999822</v>
      </c>
      <c r="V54" s="227">
        <f t="shared" si="37"/>
        <v>68.999999999999915</v>
      </c>
      <c r="W54" s="25"/>
      <c r="X54" s="25"/>
      <c r="Y54" s="28"/>
      <c r="Z54" s="28"/>
      <c r="AA54" s="568"/>
      <c r="AB54" s="569"/>
      <c r="AC54" s="50"/>
      <c r="AD54" s="27"/>
      <c r="AE54" s="20">
        <f t="shared" si="8"/>
        <v>-72.17391304347575</v>
      </c>
      <c r="AF54" s="221">
        <f t="shared" si="9"/>
        <v>0.96391304347826212</v>
      </c>
      <c r="AG54" s="573"/>
    </row>
    <row r="55" spans="1:33" ht="15.75" customHeight="1">
      <c r="A55" s="582" t="s">
        <v>1224</v>
      </c>
      <c r="B55" s="39" t="s">
        <v>74</v>
      </c>
      <c r="C55" s="566" t="s">
        <v>114</v>
      </c>
      <c r="D55" s="567"/>
      <c r="E55" s="39">
        <v>54.29</v>
      </c>
      <c r="F55" s="45">
        <v>1057</v>
      </c>
      <c r="G55" s="218">
        <f t="shared" si="35"/>
        <v>57384.53</v>
      </c>
      <c r="H55" s="48" t="s">
        <v>126</v>
      </c>
      <c r="I55" s="226">
        <v>20</v>
      </c>
      <c r="J55" s="43">
        <v>2000</v>
      </c>
      <c r="K55" s="18">
        <f t="shared" si="1"/>
        <v>100</v>
      </c>
      <c r="L55" s="226">
        <v>20</v>
      </c>
      <c r="M55" s="19">
        <f t="shared" si="39"/>
        <v>1921.8181818181793</v>
      </c>
      <c r="N55" s="19">
        <f t="shared" si="3"/>
        <v>96.090909090908966</v>
      </c>
      <c r="O55" s="20">
        <f t="shared" si="4"/>
        <v>0</v>
      </c>
      <c r="P55" s="21">
        <f t="shared" si="5"/>
        <v>-3.9090909090910344</v>
      </c>
      <c r="Q55" s="221">
        <f t="shared" si="6"/>
        <v>0.9609090909090896</v>
      </c>
      <c r="R55" s="573"/>
      <c r="S55" s="49">
        <v>0.80069444444444438</v>
      </c>
      <c r="T55" s="49">
        <v>0.82361111111111107</v>
      </c>
      <c r="U55" s="218">
        <f t="shared" si="38"/>
        <v>7.9999999999999716</v>
      </c>
      <c r="V55" s="227">
        <f t="shared" si="37"/>
        <v>33.000000000000043</v>
      </c>
      <c r="W55" s="25"/>
      <c r="X55" s="25"/>
      <c r="Y55" s="28"/>
      <c r="Z55" s="28"/>
      <c r="AA55" s="568"/>
      <c r="AB55" s="569"/>
      <c r="AC55" s="50"/>
      <c r="AD55" s="27"/>
      <c r="AE55" s="20">
        <f t="shared" si="8"/>
        <v>-78.181818181820745</v>
      </c>
      <c r="AF55" s="221">
        <f t="shared" si="9"/>
        <v>0.9609090909090896</v>
      </c>
      <c r="AG55" s="573"/>
    </row>
    <row r="56" spans="1:33">
      <c r="A56" s="583" t="s">
        <v>1224</v>
      </c>
      <c r="B56" s="39" t="s">
        <v>1210</v>
      </c>
      <c r="C56" s="576"/>
      <c r="D56" s="576"/>
      <c r="E56" s="225"/>
      <c r="F56" s="42"/>
      <c r="G56" s="18"/>
      <c r="H56" s="228"/>
      <c r="I56" s="32">
        <v>19.285714285714285</v>
      </c>
      <c r="J56" s="43">
        <v>2000</v>
      </c>
      <c r="K56" s="18">
        <f t="shared" si="1"/>
        <v>103.70370370370371</v>
      </c>
      <c r="L56" s="32">
        <v>19.285714285714285</v>
      </c>
      <c r="M56" s="19">
        <f>AVERAGE(M49:M55)</f>
        <v>1923.7969752934255</v>
      </c>
      <c r="N56" s="18">
        <f t="shared" si="3"/>
        <v>99.752435755955403</v>
      </c>
      <c r="O56" s="20">
        <f t="shared" si="4"/>
        <v>0</v>
      </c>
      <c r="P56" s="21">
        <f t="shared" si="5"/>
        <v>-3.9512679477483061</v>
      </c>
      <c r="Q56" s="221">
        <f t="shared" si="6"/>
        <v>0.96189848764671282</v>
      </c>
      <c r="R56" s="573"/>
      <c r="S56" s="49"/>
      <c r="T56" s="49"/>
      <c r="U56" s="218"/>
      <c r="V56" s="227"/>
      <c r="W56" s="18"/>
      <c r="X56" s="18"/>
      <c r="Y56" s="33">
        <f>SUM(Y49:Y55)</f>
        <v>0</v>
      </c>
      <c r="Z56" s="33">
        <f>SUM(Z49:Z55)</f>
        <v>0</v>
      </c>
      <c r="AA56" s="572"/>
      <c r="AB56" s="572"/>
      <c r="AC56" s="33">
        <v>7</v>
      </c>
      <c r="AD56" s="33">
        <f>SUM(AD49:AD55)</f>
        <v>0</v>
      </c>
      <c r="AE56" s="20">
        <f>M56-J56</f>
        <v>-76.203024706574524</v>
      </c>
      <c r="AF56" s="221">
        <f t="shared" si="9"/>
        <v>0.96189848764671271</v>
      </c>
      <c r="AG56" s="573"/>
    </row>
    <row r="57" spans="1:33" ht="15.75" customHeight="1">
      <c r="A57" s="580" t="s">
        <v>1226</v>
      </c>
      <c r="B57" s="228" t="s">
        <v>104</v>
      </c>
      <c r="C57" s="574" t="s">
        <v>115</v>
      </c>
      <c r="D57" s="574"/>
      <c r="E57" s="39">
        <v>34.36</v>
      </c>
      <c r="F57" s="45">
        <v>2428</v>
      </c>
      <c r="G57" s="218">
        <f t="shared" ref="G57:G62" si="40">E57*F57</f>
        <v>83426.080000000002</v>
      </c>
      <c r="H57" s="48" t="s">
        <v>126</v>
      </c>
      <c r="I57" s="226">
        <v>10</v>
      </c>
      <c r="J57" s="43">
        <v>3000</v>
      </c>
      <c r="K57" s="18">
        <f t="shared" si="1"/>
        <v>300</v>
      </c>
      <c r="L57" s="226">
        <v>10</v>
      </c>
      <c r="M57" s="19">
        <f t="shared" ref="M57:M62" si="41">F57/V57*60</f>
        <v>2856.4705882352928</v>
      </c>
      <c r="N57" s="18">
        <f t="shared" si="3"/>
        <v>285.64705882352928</v>
      </c>
      <c r="O57" s="20">
        <f t="shared" si="4"/>
        <v>0</v>
      </c>
      <c r="P57" s="21">
        <f t="shared" si="5"/>
        <v>-14.352941176470722</v>
      </c>
      <c r="Q57" s="221">
        <f t="shared" si="6"/>
        <v>0.95215686274509759</v>
      </c>
      <c r="R57" s="573">
        <f>Q63</f>
        <v>0.95891355348505425</v>
      </c>
      <c r="S57" s="49">
        <v>0.20833333333333334</v>
      </c>
      <c r="T57" s="49">
        <v>0.24375000000000002</v>
      </c>
      <c r="U57" s="218"/>
      <c r="V57" s="227">
        <f t="shared" ref="V57:V62" si="42">(T57-S57)*24*60</f>
        <v>51.000000000000021</v>
      </c>
      <c r="W57" s="30"/>
      <c r="X57" s="30"/>
      <c r="Y57" s="30"/>
      <c r="Z57" s="30"/>
      <c r="AA57" s="575"/>
      <c r="AB57" s="575"/>
      <c r="AC57" s="50">
        <v>6</v>
      </c>
      <c r="AD57" s="27"/>
      <c r="AE57" s="20">
        <f t="shared" ref="AE57:AE72" si="43">M57-J57</f>
        <v>-143.52941176470722</v>
      </c>
      <c r="AF57" s="221">
        <f t="shared" si="9"/>
        <v>0.95215686274509759</v>
      </c>
      <c r="AG57" s="573">
        <f>AF63</f>
        <v>0.95891355348505436</v>
      </c>
    </row>
    <row r="58" spans="1:33" ht="15.75" customHeight="1">
      <c r="A58" s="580" t="s">
        <v>67</v>
      </c>
      <c r="B58" s="228" t="s">
        <v>104</v>
      </c>
      <c r="C58" s="574" t="s">
        <v>116</v>
      </c>
      <c r="D58" s="574"/>
      <c r="E58" s="39">
        <v>34.36</v>
      </c>
      <c r="F58" s="45">
        <v>1258</v>
      </c>
      <c r="G58" s="218">
        <f t="shared" si="40"/>
        <v>43224.88</v>
      </c>
      <c r="H58" s="48" t="s">
        <v>126</v>
      </c>
      <c r="I58" s="226">
        <v>10</v>
      </c>
      <c r="J58" s="43">
        <v>3000</v>
      </c>
      <c r="K58" s="18">
        <f t="shared" si="1"/>
        <v>300</v>
      </c>
      <c r="L58" s="226">
        <v>10</v>
      </c>
      <c r="M58" s="19">
        <f t="shared" si="41"/>
        <v>2903.0769230769197</v>
      </c>
      <c r="N58" s="18">
        <f t="shared" si="3"/>
        <v>290.30769230769198</v>
      </c>
      <c r="O58" s="20">
        <f t="shared" si="4"/>
        <v>0</v>
      </c>
      <c r="P58" s="21">
        <f t="shared" si="5"/>
        <v>-9.6923076923080203</v>
      </c>
      <c r="Q58" s="221">
        <f t="shared" si="6"/>
        <v>0.96769230769230663</v>
      </c>
      <c r="R58" s="573"/>
      <c r="S58" s="49">
        <v>0.24930555555555559</v>
      </c>
      <c r="T58" s="49">
        <v>0.26736111111111116</v>
      </c>
      <c r="U58" s="218">
        <f t="shared" ref="U58:U62" si="44">(S58-T57)*24*60</f>
        <v>8.0000000000000107</v>
      </c>
      <c r="V58" s="227">
        <f t="shared" si="42"/>
        <v>26.000000000000028</v>
      </c>
      <c r="W58" s="218"/>
      <c r="X58" s="218"/>
      <c r="Y58" s="218"/>
      <c r="Z58" s="218"/>
      <c r="AA58" s="575"/>
      <c r="AB58" s="575"/>
      <c r="AC58" s="50"/>
      <c r="AD58" s="27"/>
      <c r="AE58" s="20">
        <f t="shared" si="43"/>
        <v>-96.923076923080316</v>
      </c>
      <c r="AF58" s="221">
        <f t="shared" si="9"/>
        <v>0.96769230769230652</v>
      </c>
      <c r="AG58" s="573"/>
    </row>
    <row r="59" spans="1:33" ht="15.75" customHeight="1">
      <c r="A59" s="580" t="s">
        <v>1227</v>
      </c>
      <c r="B59" s="228" t="s">
        <v>104</v>
      </c>
      <c r="C59" s="574" t="s">
        <v>117</v>
      </c>
      <c r="D59" s="574"/>
      <c r="E59" s="39">
        <v>26.78</v>
      </c>
      <c r="F59" s="45">
        <v>2677</v>
      </c>
      <c r="G59" s="218">
        <f t="shared" si="40"/>
        <v>71690.06</v>
      </c>
      <c r="H59" s="48" t="s">
        <v>126</v>
      </c>
      <c r="I59" s="226">
        <v>10</v>
      </c>
      <c r="J59" s="43">
        <v>3000</v>
      </c>
      <c r="K59" s="18">
        <f t="shared" si="1"/>
        <v>300</v>
      </c>
      <c r="L59" s="226">
        <v>10</v>
      </c>
      <c r="M59" s="19">
        <f t="shared" si="41"/>
        <v>2868.2142857142881</v>
      </c>
      <c r="N59" s="18">
        <f t="shared" si="3"/>
        <v>286.82142857142878</v>
      </c>
      <c r="O59" s="20">
        <f t="shared" si="4"/>
        <v>0</v>
      </c>
      <c r="P59" s="21">
        <f t="shared" si="5"/>
        <v>-13.178571428571217</v>
      </c>
      <c r="Q59" s="221">
        <f t="shared" si="6"/>
        <v>0.95607142857142924</v>
      </c>
      <c r="R59" s="573"/>
      <c r="S59" s="49">
        <v>0.27152777777777781</v>
      </c>
      <c r="T59" s="49">
        <v>0.31041666666666667</v>
      </c>
      <c r="U59" s="218">
        <f t="shared" si="44"/>
        <v>5.9999999999999787</v>
      </c>
      <c r="V59" s="227">
        <f t="shared" si="42"/>
        <v>55.999999999999957</v>
      </c>
      <c r="W59" s="218"/>
      <c r="X59" s="218"/>
      <c r="Y59" s="218"/>
      <c r="Z59" s="218"/>
      <c r="AA59" s="575"/>
      <c r="AB59" s="575"/>
      <c r="AC59" s="50"/>
      <c r="AD59" s="27"/>
      <c r="AE59" s="20">
        <f t="shared" si="43"/>
        <v>-131.78571428571195</v>
      </c>
      <c r="AF59" s="221">
        <f t="shared" si="9"/>
        <v>0.95607142857142935</v>
      </c>
      <c r="AG59" s="573"/>
    </row>
    <row r="60" spans="1:33" ht="15.75" customHeight="1">
      <c r="A60" s="580" t="s">
        <v>67</v>
      </c>
      <c r="B60" s="228" t="s">
        <v>104</v>
      </c>
      <c r="C60" s="574" t="s">
        <v>118</v>
      </c>
      <c r="D60" s="574"/>
      <c r="E60" s="39">
        <v>37.880000000000003</v>
      </c>
      <c r="F60" s="45">
        <v>1864</v>
      </c>
      <c r="G60" s="218">
        <f t="shared" si="40"/>
        <v>70608.320000000007</v>
      </c>
      <c r="H60" s="48" t="s">
        <v>126</v>
      </c>
      <c r="I60" s="226">
        <v>10</v>
      </c>
      <c r="J60" s="43">
        <v>3000</v>
      </c>
      <c r="K60" s="18">
        <f t="shared" si="1"/>
        <v>300</v>
      </c>
      <c r="L60" s="226">
        <v>10</v>
      </c>
      <c r="M60" s="19">
        <f t="shared" si="41"/>
        <v>2867.6923076923058</v>
      </c>
      <c r="N60" s="18">
        <f t="shared" si="3"/>
        <v>286.7692307692306</v>
      </c>
      <c r="O60" s="20">
        <f t="shared" si="4"/>
        <v>0</v>
      </c>
      <c r="P60" s="21">
        <f t="shared" si="5"/>
        <v>-13.230769230769397</v>
      </c>
      <c r="Q60" s="221">
        <f t="shared" si="6"/>
        <v>0.95589743589743537</v>
      </c>
      <c r="R60" s="573"/>
      <c r="S60" s="49">
        <v>0.31597222222222221</v>
      </c>
      <c r="T60" s="49">
        <v>0.34305555555555556</v>
      </c>
      <c r="U60" s="218">
        <f t="shared" si="44"/>
        <v>7.9999999999999716</v>
      </c>
      <c r="V60" s="227">
        <f t="shared" si="42"/>
        <v>39.000000000000021</v>
      </c>
      <c r="W60" s="218"/>
      <c r="X60" s="218"/>
      <c r="Y60" s="218"/>
      <c r="Z60" s="218"/>
      <c r="AA60" s="575"/>
      <c r="AB60" s="575"/>
      <c r="AC60" s="50"/>
      <c r="AD60" s="27"/>
      <c r="AE60" s="20">
        <f t="shared" si="43"/>
        <v>-132.3076923076942</v>
      </c>
      <c r="AF60" s="221">
        <f t="shared" si="9"/>
        <v>0.95589743589743525</v>
      </c>
      <c r="AG60" s="573"/>
    </row>
    <row r="61" spans="1:33">
      <c r="A61" s="581" t="s">
        <v>1228</v>
      </c>
      <c r="B61" s="228" t="s">
        <v>104</v>
      </c>
      <c r="C61" s="574" t="s">
        <v>119</v>
      </c>
      <c r="D61" s="574"/>
      <c r="E61" s="39">
        <v>35.869999999999997</v>
      </c>
      <c r="F61" s="45">
        <v>4144</v>
      </c>
      <c r="G61" s="218">
        <f t="shared" si="40"/>
        <v>148645.28</v>
      </c>
      <c r="H61" s="48" t="s">
        <v>126</v>
      </c>
      <c r="I61" s="226">
        <v>9</v>
      </c>
      <c r="J61" s="43">
        <v>3000</v>
      </c>
      <c r="K61" s="18">
        <f t="shared" si="1"/>
        <v>333.33333333333331</v>
      </c>
      <c r="L61" s="226">
        <v>9</v>
      </c>
      <c r="M61" s="19">
        <f t="shared" si="41"/>
        <v>2857.9310344827582</v>
      </c>
      <c r="N61" s="18">
        <f t="shared" si="3"/>
        <v>317.54789272030644</v>
      </c>
      <c r="O61" s="20">
        <f t="shared" si="4"/>
        <v>0</v>
      </c>
      <c r="P61" s="21">
        <f t="shared" si="5"/>
        <v>-15.785440613026879</v>
      </c>
      <c r="Q61" s="221">
        <f t="shared" si="6"/>
        <v>0.95264367816091933</v>
      </c>
      <c r="R61" s="573"/>
      <c r="S61" s="49">
        <v>0.34652777777777777</v>
      </c>
      <c r="T61" s="49">
        <v>0.40694444444444444</v>
      </c>
      <c r="U61" s="218">
        <f t="shared" si="44"/>
        <v>4.9999999999999822</v>
      </c>
      <c r="V61" s="227">
        <f t="shared" si="42"/>
        <v>87.000000000000014</v>
      </c>
      <c r="W61" s="25"/>
      <c r="X61" s="25"/>
      <c r="Y61" s="25"/>
      <c r="Z61" s="25"/>
      <c r="AA61" s="575"/>
      <c r="AB61" s="575"/>
      <c r="AC61" s="50"/>
      <c r="AD61" s="27"/>
      <c r="AE61" s="20">
        <f t="shared" si="43"/>
        <v>-142.06896551724185</v>
      </c>
      <c r="AF61" s="221">
        <f t="shared" si="9"/>
        <v>0.95264367816091944</v>
      </c>
      <c r="AG61" s="573"/>
    </row>
    <row r="62" spans="1:33" ht="15" customHeight="1">
      <c r="A62" s="581" t="s">
        <v>1227</v>
      </c>
      <c r="B62" s="228" t="s">
        <v>104</v>
      </c>
      <c r="C62" s="566" t="s">
        <v>120</v>
      </c>
      <c r="D62" s="567"/>
      <c r="E62" s="39">
        <v>34.35</v>
      </c>
      <c r="F62" s="45">
        <v>2471</v>
      </c>
      <c r="G62" s="218">
        <f t="shared" si="40"/>
        <v>84878.85</v>
      </c>
      <c r="H62" s="48" t="s">
        <v>126</v>
      </c>
      <c r="I62" s="226">
        <v>8</v>
      </c>
      <c r="J62" s="43">
        <v>3000</v>
      </c>
      <c r="K62" s="18">
        <f t="shared" si="1"/>
        <v>375</v>
      </c>
      <c r="L62" s="226">
        <v>8</v>
      </c>
      <c r="M62" s="19">
        <f t="shared" si="41"/>
        <v>2907.0588235294131</v>
      </c>
      <c r="N62" s="18">
        <f t="shared" si="3"/>
        <v>363.38235294117663</v>
      </c>
      <c r="O62" s="20">
        <f t="shared" si="4"/>
        <v>0</v>
      </c>
      <c r="P62" s="21">
        <f t="shared" si="5"/>
        <v>-11.617647058823366</v>
      </c>
      <c r="Q62" s="221">
        <f t="shared" si="6"/>
        <v>0.96901960784313768</v>
      </c>
      <c r="R62" s="573"/>
      <c r="S62" s="49">
        <v>0.41180555555555554</v>
      </c>
      <c r="T62" s="49">
        <v>0.44722222222222219</v>
      </c>
      <c r="U62" s="218">
        <f t="shared" si="44"/>
        <v>6.9999999999999751</v>
      </c>
      <c r="V62" s="227">
        <f t="shared" si="42"/>
        <v>50.999999999999979</v>
      </c>
      <c r="W62" s="218"/>
      <c r="X62" s="218"/>
      <c r="Y62" s="224"/>
      <c r="Z62" s="224"/>
      <c r="AA62" s="568"/>
      <c r="AB62" s="569"/>
      <c r="AC62" s="50"/>
      <c r="AD62" s="27"/>
      <c r="AE62" s="20">
        <f t="shared" si="43"/>
        <v>-92.941176470586925</v>
      </c>
      <c r="AF62" s="221">
        <f t="shared" si="9"/>
        <v>0.96901960784313768</v>
      </c>
      <c r="AG62" s="573"/>
    </row>
    <row r="63" spans="1:33">
      <c r="A63" s="581" t="s">
        <v>67</v>
      </c>
      <c r="B63" s="39" t="s">
        <v>46</v>
      </c>
      <c r="C63" s="576"/>
      <c r="D63" s="576"/>
      <c r="E63" s="225"/>
      <c r="F63" s="42"/>
      <c r="G63" s="18"/>
      <c r="H63" s="228"/>
      <c r="I63" s="32">
        <v>9.5</v>
      </c>
      <c r="J63" s="43">
        <v>3000</v>
      </c>
      <c r="K63" s="18">
        <f t="shared" si="1"/>
        <v>315.78947368421052</v>
      </c>
      <c r="L63" s="32">
        <v>9.5</v>
      </c>
      <c r="M63" s="19">
        <f>AVERAGE(M57:M62)</f>
        <v>2876.7406604551629</v>
      </c>
      <c r="N63" s="18">
        <f t="shared" si="3"/>
        <v>302.81480636370134</v>
      </c>
      <c r="O63" s="20">
        <f t="shared" si="4"/>
        <v>0</v>
      </c>
      <c r="P63" s="21">
        <f t="shared" si="5"/>
        <v>-12.974667320509184</v>
      </c>
      <c r="Q63" s="221">
        <f t="shared" si="6"/>
        <v>0.95891355348505425</v>
      </c>
      <c r="R63" s="573"/>
      <c r="S63" s="49"/>
      <c r="T63" s="49"/>
      <c r="U63" s="18"/>
      <c r="V63" s="227"/>
      <c r="W63" s="18"/>
      <c r="X63" s="18"/>
      <c r="Y63" s="33">
        <f>SUM(Y57:Y62)</f>
        <v>0</v>
      </c>
      <c r="Z63" s="33">
        <f>SUM(Z57:Z62)</f>
        <v>0</v>
      </c>
      <c r="AA63" s="572"/>
      <c r="AB63" s="572"/>
      <c r="AC63" s="33">
        <v>6</v>
      </c>
      <c r="AD63" s="33">
        <f>SUM(AD57:AD62)</f>
        <v>0</v>
      </c>
      <c r="AE63" s="20">
        <f t="shared" si="43"/>
        <v>-123.25933954483708</v>
      </c>
      <c r="AF63" s="221">
        <f t="shared" si="9"/>
        <v>0.95891355348505436</v>
      </c>
      <c r="AG63" s="573"/>
    </row>
    <row r="64" spans="1:33" ht="15.75" customHeight="1">
      <c r="A64" s="577" t="s">
        <v>1229</v>
      </c>
      <c r="B64" s="228" t="s">
        <v>94</v>
      </c>
      <c r="C64" s="574" t="s">
        <v>124</v>
      </c>
      <c r="D64" s="574"/>
      <c r="E64" s="39">
        <v>22.69</v>
      </c>
      <c r="F64" s="228">
        <v>5913</v>
      </c>
      <c r="G64" s="218">
        <f t="shared" ref="G64:G71" si="45">E64*F64</f>
        <v>134165.97</v>
      </c>
      <c r="H64" s="48" t="s">
        <v>126</v>
      </c>
      <c r="I64" s="226">
        <v>15</v>
      </c>
      <c r="J64" s="43">
        <v>2400</v>
      </c>
      <c r="K64" s="18">
        <f t="shared" si="1"/>
        <v>160</v>
      </c>
      <c r="L64" s="226">
        <v>15</v>
      </c>
      <c r="M64" s="19">
        <f t="shared" ref="M64:M71" si="46">F64/V64*60</f>
        <v>2288.9032258064522</v>
      </c>
      <c r="N64" s="18">
        <f t="shared" si="3"/>
        <v>152.5935483870968</v>
      </c>
      <c r="O64" s="20">
        <f t="shared" si="4"/>
        <v>0</v>
      </c>
      <c r="P64" s="21">
        <f t="shared" si="5"/>
        <v>-7.4064516129031972</v>
      </c>
      <c r="Q64" s="221">
        <f t="shared" si="6"/>
        <v>0.95370967741935497</v>
      </c>
      <c r="R64" s="573">
        <f>Q72</f>
        <v>0.95621801486979652</v>
      </c>
      <c r="S64" s="49">
        <v>8.3333333333333329E-2</v>
      </c>
      <c r="T64" s="49">
        <v>0.19097222222222221</v>
      </c>
      <c r="U64" s="30"/>
      <c r="V64" s="227">
        <f t="shared" ref="V64:V71" si="47">(T64-S64)*24*60</f>
        <v>154.99999999999997</v>
      </c>
      <c r="W64" s="25">
        <f>T64</f>
        <v>0.19097222222222221</v>
      </c>
      <c r="X64" s="25">
        <f>S65</f>
        <v>0.21180555555555555</v>
      </c>
      <c r="Y64" s="25"/>
      <c r="Z64" s="25"/>
      <c r="AA64" s="575"/>
      <c r="AB64" s="575"/>
      <c r="AC64" s="50">
        <v>8</v>
      </c>
      <c r="AD64" s="27"/>
      <c r="AE64" s="20">
        <f t="shared" si="43"/>
        <v>-111.09677419354784</v>
      </c>
      <c r="AF64" s="221">
        <f t="shared" si="9"/>
        <v>0.95370967741935508</v>
      </c>
      <c r="AG64" s="573">
        <f>AF72</f>
        <v>0.95621801486979663</v>
      </c>
    </row>
    <row r="65" spans="1:33" ht="15.75" customHeight="1">
      <c r="A65" s="578" t="s">
        <v>71</v>
      </c>
      <c r="B65" s="228" t="s">
        <v>94</v>
      </c>
      <c r="C65" s="574" t="s">
        <v>101</v>
      </c>
      <c r="D65" s="574"/>
      <c r="E65" s="39">
        <v>25.98</v>
      </c>
      <c r="F65" s="228">
        <v>1800</v>
      </c>
      <c r="G65" s="218">
        <f t="shared" si="45"/>
        <v>46764</v>
      </c>
      <c r="H65" s="48">
        <v>2</v>
      </c>
      <c r="I65" s="226">
        <v>21</v>
      </c>
      <c r="J65" s="43">
        <v>2400</v>
      </c>
      <c r="K65" s="18">
        <f t="shared" si="1"/>
        <v>114.28571428571429</v>
      </c>
      <c r="L65" s="226">
        <v>21</v>
      </c>
      <c r="M65" s="19">
        <f t="shared" si="46"/>
        <v>2297.872340425532</v>
      </c>
      <c r="N65" s="18">
        <f t="shared" si="3"/>
        <v>109.42249240121581</v>
      </c>
      <c r="O65" s="20">
        <f t="shared" si="4"/>
        <v>0</v>
      </c>
      <c r="P65" s="21">
        <f t="shared" si="5"/>
        <v>-4.8632218844984862</v>
      </c>
      <c r="Q65" s="221">
        <f t="shared" si="6"/>
        <v>0.95744680851063824</v>
      </c>
      <c r="R65" s="573"/>
      <c r="S65" s="49">
        <v>0.21180555555555555</v>
      </c>
      <c r="T65" s="49">
        <v>0.24444444444444444</v>
      </c>
      <c r="U65" s="218">
        <f t="shared" ref="U65:U71" si="48">(S65-T64)*24*60</f>
        <v>30.000000000000014</v>
      </c>
      <c r="V65" s="227">
        <f t="shared" si="47"/>
        <v>46.999999999999993</v>
      </c>
      <c r="W65" s="25"/>
      <c r="X65" s="25"/>
      <c r="Y65" s="25"/>
      <c r="Z65" s="25"/>
      <c r="AA65" s="575"/>
      <c r="AB65" s="575"/>
      <c r="AC65" s="50"/>
      <c r="AD65" s="27"/>
      <c r="AE65" s="20">
        <f t="shared" si="43"/>
        <v>-102.127659574468</v>
      </c>
      <c r="AF65" s="221">
        <f t="shared" si="9"/>
        <v>0.95744680851063835</v>
      </c>
      <c r="AG65" s="573"/>
    </row>
    <row r="66" spans="1:33" ht="15.75" customHeight="1">
      <c r="A66" s="578" t="s">
        <v>71</v>
      </c>
      <c r="B66" s="228" t="s">
        <v>94</v>
      </c>
      <c r="C66" s="574" t="s">
        <v>123</v>
      </c>
      <c r="D66" s="574"/>
      <c r="E66" s="39">
        <v>20.21</v>
      </c>
      <c r="F66" s="228">
        <v>1900</v>
      </c>
      <c r="G66" s="218">
        <f t="shared" si="45"/>
        <v>38399</v>
      </c>
      <c r="H66" s="48">
        <v>2</v>
      </c>
      <c r="I66" s="226">
        <v>15</v>
      </c>
      <c r="J66" s="43">
        <v>2400</v>
      </c>
      <c r="K66" s="18">
        <f t="shared" si="1"/>
        <v>160</v>
      </c>
      <c r="L66" s="226">
        <v>15</v>
      </c>
      <c r="M66" s="19">
        <f t="shared" si="46"/>
        <v>2326.5306122448983</v>
      </c>
      <c r="N66" s="18">
        <f t="shared" si="3"/>
        <v>155.10204081632656</v>
      </c>
      <c r="O66" s="20">
        <f t="shared" si="4"/>
        <v>0</v>
      </c>
      <c r="P66" s="21">
        <f t="shared" si="5"/>
        <v>-4.8979591836734357</v>
      </c>
      <c r="Q66" s="221">
        <f t="shared" si="6"/>
        <v>0.969387755102041</v>
      </c>
      <c r="R66" s="573"/>
      <c r="S66" s="49">
        <v>0.24861111111111112</v>
      </c>
      <c r="T66" s="49">
        <v>0.28263888888888888</v>
      </c>
      <c r="U66" s="218">
        <f t="shared" si="48"/>
        <v>6.0000000000000187</v>
      </c>
      <c r="V66" s="227">
        <f t="shared" si="47"/>
        <v>48.999999999999986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-73.469387755101707</v>
      </c>
      <c r="AF66" s="221">
        <f t="shared" si="9"/>
        <v>0.969387755102041</v>
      </c>
      <c r="AG66" s="573"/>
    </row>
    <row r="67" spans="1:33" ht="15.75" customHeight="1">
      <c r="A67" s="578" t="s">
        <v>1230</v>
      </c>
      <c r="B67" s="228" t="s">
        <v>94</v>
      </c>
      <c r="C67" s="574" t="s">
        <v>125</v>
      </c>
      <c r="D67" s="574"/>
      <c r="E67" s="39">
        <v>19.02</v>
      </c>
      <c r="F67" s="228">
        <v>5400</v>
      </c>
      <c r="G67" s="218">
        <f t="shared" si="45"/>
        <v>102708</v>
      </c>
      <c r="H67" s="48">
        <v>2</v>
      </c>
      <c r="I67" s="226">
        <v>14</v>
      </c>
      <c r="J67" s="43">
        <v>2400</v>
      </c>
      <c r="K67" s="18">
        <f t="shared" si="1"/>
        <v>171.42857142857142</v>
      </c>
      <c r="L67" s="226">
        <v>14</v>
      </c>
      <c r="M67" s="19">
        <f t="shared" si="46"/>
        <v>2281.6901408450708</v>
      </c>
      <c r="N67" s="18">
        <f t="shared" si="3"/>
        <v>162.97786720321935</v>
      </c>
      <c r="O67" s="20">
        <f t="shared" si="4"/>
        <v>0</v>
      </c>
      <c r="P67" s="21">
        <f t="shared" si="5"/>
        <v>-8.4507042253520694</v>
      </c>
      <c r="Q67" s="221">
        <f t="shared" si="6"/>
        <v>0.95070422535211296</v>
      </c>
      <c r="R67" s="573"/>
      <c r="S67" s="49">
        <v>0.28819444444444442</v>
      </c>
      <c r="T67" s="49">
        <v>0.38680555555555551</v>
      </c>
      <c r="U67" s="218">
        <f t="shared" si="48"/>
        <v>7.9999999999999716</v>
      </c>
      <c r="V67" s="227">
        <f t="shared" si="47"/>
        <v>141.99999999999997</v>
      </c>
      <c r="W67" s="25"/>
      <c r="X67" s="25"/>
      <c r="Y67" s="25"/>
      <c r="Z67" s="25"/>
      <c r="AA67" s="575"/>
      <c r="AB67" s="575"/>
      <c r="AC67" s="50"/>
      <c r="AD67" s="27"/>
      <c r="AE67" s="20">
        <f t="shared" si="43"/>
        <v>-118.3098591549292</v>
      </c>
      <c r="AF67" s="221">
        <f t="shared" si="9"/>
        <v>0.95070422535211285</v>
      </c>
      <c r="AG67" s="573"/>
    </row>
    <row r="68" spans="1:33" ht="15.75" customHeight="1">
      <c r="A68" s="578" t="s">
        <v>71</v>
      </c>
      <c r="B68" s="228" t="s">
        <v>94</v>
      </c>
      <c r="C68" s="574" t="s">
        <v>99</v>
      </c>
      <c r="D68" s="574"/>
      <c r="E68" s="39">
        <v>20.36</v>
      </c>
      <c r="F68" s="228">
        <v>4898</v>
      </c>
      <c r="G68" s="218">
        <f t="shared" si="45"/>
        <v>99723.28</v>
      </c>
      <c r="H68" s="48" t="s">
        <v>126</v>
      </c>
      <c r="I68" s="226">
        <v>18</v>
      </c>
      <c r="J68" s="43">
        <v>2400</v>
      </c>
      <c r="K68" s="18">
        <f t="shared" si="1"/>
        <v>133.33333333333334</v>
      </c>
      <c r="L68" s="226">
        <v>18</v>
      </c>
      <c r="M68" s="19">
        <f t="shared" si="46"/>
        <v>2295.9374999999995</v>
      </c>
      <c r="N68" s="18">
        <f t="shared" si="3"/>
        <v>127.55208333333331</v>
      </c>
      <c r="O68" s="20">
        <f t="shared" si="4"/>
        <v>0</v>
      </c>
      <c r="P68" s="21">
        <f t="shared" si="5"/>
        <v>-5.7812500000000284</v>
      </c>
      <c r="Q68" s="221">
        <f t="shared" si="6"/>
        <v>0.9566406249999998</v>
      </c>
      <c r="R68" s="573"/>
      <c r="S68" s="49">
        <v>0.39097222222222217</v>
      </c>
      <c r="T68" s="49">
        <v>0.47986111111111107</v>
      </c>
      <c r="U68" s="218">
        <f t="shared" si="48"/>
        <v>5.9999999999999787</v>
      </c>
      <c r="V68" s="227">
        <f t="shared" si="47"/>
        <v>128.00000000000003</v>
      </c>
      <c r="W68" s="25">
        <f>T68</f>
        <v>0.47986111111111107</v>
      </c>
      <c r="X68" s="25">
        <f>S69</f>
        <v>0.51874999999999993</v>
      </c>
      <c r="Y68" s="25"/>
      <c r="Z68" s="25"/>
      <c r="AA68" s="575"/>
      <c r="AB68" s="575"/>
      <c r="AC68" s="50"/>
      <c r="AD68" s="27"/>
      <c r="AE68" s="20">
        <f t="shared" si="43"/>
        <v>-104.06250000000045</v>
      </c>
      <c r="AF68" s="221">
        <f t="shared" si="9"/>
        <v>0.9566406249999998</v>
      </c>
      <c r="AG68" s="573"/>
    </row>
    <row r="69" spans="1:33" ht="15.75" customHeight="1">
      <c r="A69" s="578" t="s">
        <v>71</v>
      </c>
      <c r="B69" s="228" t="s">
        <v>94</v>
      </c>
      <c r="C69" s="574" t="s">
        <v>125</v>
      </c>
      <c r="D69" s="574"/>
      <c r="E69" s="39">
        <v>19.02</v>
      </c>
      <c r="F69" s="228">
        <v>8262</v>
      </c>
      <c r="G69" s="218">
        <f t="shared" si="45"/>
        <v>157143.24</v>
      </c>
      <c r="H69" s="48" t="s">
        <v>126</v>
      </c>
      <c r="I69" s="226">
        <v>14</v>
      </c>
      <c r="J69" s="43">
        <v>2400</v>
      </c>
      <c r="K69" s="18">
        <f t="shared" ref="K69:K72" si="49">J69/I69</f>
        <v>171.42857142857142</v>
      </c>
      <c r="L69" s="226">
        <v>14</v>
      </c>
      <c r="M69" s="19">
        <f t="shared" si="46"/>
        <v>2284.4239631336404</v>
      </c>
      <c r="N69" s="18">
        <f t="shared" ref="N69:N72" si="50">M69/L69</f>
        <v>163.17314022383147</v>
      </c>
      <c r="O69" s="20">
        <f t="shared" ref="O69:O72" si="51">L69-I69</f>
        <v>0</v>
      </c>
      <c r="P69" s="21">
        <f t="shared" ref="P69:P72" si="52">N69-K69</f>
        <v>-8.2554312047399492</v>
      </c>
      <c r="Q69" s="221">
        <f t="shared" ref="Q69:Q72" si="53">N69/K69</f>
        <v>0.95184331797235033</v>
      </c>
      <c r="R69" s="573"/>
      <c r="S69" s="49">
        <v>0.51874999999999993</v>
      </c>
      <c r="T69" s="49">
        <v>0.6694444444444444</v>
      </c>
      <c r="U69" s="218">
        <f t="shared" si="48"/>
        <v>55.999999999999957</v>
      </c>
      <c r="V69" s="227">
        <f t="shared" si="47"/>
        <v>217.00000000000003</v>
      </c>
      <c r="W69" s="25"/>
      <c r="X69" s="25"/>
      <c r="Y69" s="25"/>
      <c r="Z69" s="25"/>
      <c r="AA69" s="575"/>
      <c r="AB69" s="575"/>
      <c r="AC69" s="50"/>
      <c r="AD69" s="27"/>
      <c r="AE69" s="20">
        <f t="shared" si="43"/>
        <v>-115.57603686635957</v>
      </c>
      <c r="AF69" s="221">
        <f t="shared" ref="AF69:AF72" si="54">M69/J69</f>
        <v>0.95184331797235022</v>
      </c>
      <c r="AG69" s="573"/>
    </row>
    <row r="70" spans="1:33" ht="15.75" customHeight="1">
      <c r="A70" s="578" t="s">
        <v>71</v>
      </c>
      <c r="B70" s="228" t="s">
        <v>94</v>
      </c>
      <c r="C70" s="566" t="s">
        <v>123</v>
      </c>
      <c r="D70" s="567"/>
      <c r="E70" s="39">
        <v>20.21</v>
      </c>
      <c r="F70" s="228">
        <v>2144</v>
      </c>
      <c r="G70" s="218">
        <f t="shared" si="45"/>
        <v>43330.240000000005</v>
      </c>
      <c r="H70" s="48" t="s">
        <v>126</v>
      </c>
      <c r="I70" s="226">
        <v>15</v>
      </c>
      <c r="J70" s="43">
        <v>2400</v>
      </c>
      <c r="K70" s="18">
        <f t="shared" si="49"/>
        <v>160</v>
      </c>
      <c r="L70" s="226">
        <v>15</v>
      </c>
      <c r="M70" s="19">
        <f t="shared" si="46"/>
        <v>2297.1428571428587</v>
      </c>
      <c r="N70" s="18">
        <f t="shared" si="50"/>
        <v>153.14285714285725</v>
      </c>
      <c r="O70" s="20">
        <f t="shared" si="51"/>
        <v>0</v>
      </c>
      <c r="P70" s="21">
        <f t="shared" si="52"/>
        <v>-6.8571428571427475</v>
      </c>
      <c r="Q70" s="221">
        <f t="shared" si="53"/>
        <v>0.95714285714285785</v>
      </c>
      <c r="R70" s="573"/>
      <c r="S70" s="49">
        <v>0.67361111111111105</v>
      </c>
      <c r="T70" s="49">
        <v>0.71249999999999991</v>
      </c>
      <c r="U70" s="218">
        <f t="shared" si="48"/>
        <v>5.9999999999999787</v>
      </c>
      <c r="V70" s="227">
        <f t="shared" si="47"/>
        <v>55.999999999999957</v>
      </c>
      <c r="W70" s="25"/>
      <c r="X70" s="25"/>
      <c r="Y70" s="28"/>
      <c r="Z70" s="28"/>
      <c r="AA70" s="568"/>
      <c r="AB70" s="569"/>
      <c r="AC70" s="50"/>
      <c r="AD70" s="27"/>
      <c r="AE70" s="20">
        <f t="shared" si="43"/>
        <v>-102.8571428571413</v>
      </c>
      <c r="AF70" s="221">
        <f t="shared" si="54"/>
        <v>0.95714285714285774</v>
      </c>
      <c r="AG70" s="573"/>
    </row>
    <row r="71" spans="1:33" ht="15.75" customHeight="1">
      <c r="A71" s="578" t="s">
        <v>71</v>
      </c>
      <c r="B71" s="228" t="s">
        <v>94</v>
      </c>
      <c r="C71" s="566" t="s">
        <v>101</v>
      </c>
      <c r="D71" s="567"/>
      <c r="E71" s="39">
        <v>25.98</v>
      </c>
      <c r="F71" s="228">
        <v>2325</v>
      </c>
      <c r="G71" s="218">
        <f t="shared" si="45"/>
        <v>60403.5</v>
      </c>
      <c r="H71" s="48" t="s">
        <v>126</v>
      </c>
      <c r="I71" s="226">
        <v>21</v>
      </c>
      <c r="J71" s="43">
        <v>2400</v>
      </c>
      <c r="K71" s="18">
        <f t="shared" si="49"/>
        <v>114.28571428571429</v>
      </c>
      <c r="L71" s="226">
        <v>21</v>
      </c>
      <c r="M71" s="19">
        <f t="shared" si="46"/>
        <v>2286.8852459016416</v>
      </c>
      <c r="N71" s="18">
        <f t="shared" si="50"/>
        <v>108.8992974238877</v>
      </c>
      <c r="O71" s="20">
        <f t="shared" si="51"/>
        <v>0</v>
      </c>
      <c r="P71" s="21">
        <f t="shared" si="52"/>
        <v>-5.3864168618265893</v>
      </c>
      <c r="Q71" s="221">
        <f t="shared" si="53"/>
        <v>0.95286885245901731</v>
      </c>
      <c r="R71" s="573"/>
      <c r="S71" s="49">
        <v>0.71805555555555545</v>
      </c>
      <c r="T71" s="49">
        <v>0.76041666666666652</v>
      </c>
      <c r="U71" s="218">
        <f t="shared" si="48"/>
        <v>7.9999999999999716</v>
      </c>
      <c r="V71" s="227">
        <f t="shared" si="47"/>
        <v>60.999999999999943</v>
      </c>
      <c r="W71" s="25"/>
      <c r="X71" s="25"/>
      <c r="Y71" s="28"/>
      <c r="Z71" s="28"/>
      <c r="AA71" s="568"/>
      <c r="AB71" s="569"/>
      <c r="AC71" s="50"/>
      <c r="AD71" s="27"/>
      <c r="AE71" s="20">
        <f t="shared" si="43"/>
        <v>-113.11475409835839</v>
      </c>
      <c r="AF71" s="221">
        <f t="shared" si="54"/>
        <v>0.95286885245901731</v>
      </c>
      <c r="AG71" s="573"/>
    </row>
    <row r="72" spans="1:33" ht="16.5" customHeight="1">
      <c r="A72" s="579" t="s">
        <v>71</v>
      </c>
      <c r="B72" s="39" t="s">
        <v>46</v>
      </c>
      <c r="C72" s="570"/>
      <c r="D72" s="571"/>
      <c r="E72" s="225"/>
      <c r="F72" s="42"/>
      <c r="G72" s="18"/>
      <c r="H72" s="228"/>
      <c r="I72" s="32">
        <v>16.625</v>
      </c>
      <c r="J72" s="43">
        <v>2400</v>
      </c>
      <c r="K72" s="18">
        <f t="shared" si="49"/>
        <v>144.3609022556391</v>
      </c>
      <c r="L72" s="32">
        <v>16.625</v>
      </c>
      <c r="M72" s="19">
        <f>AVERAGE(M64:M71)</f>
        <v>2294.9232356875118</v>
      </c>
      <c r="N72" s="18">
        <f t="shared" si="50"/>
        <v>138.04049537969996</v>
      </c>
      <c r="O72" s="20">
        <f t="shared" si="51"/>
        <v>0</v>
      </c>
      <c r="P72" s="21">
        <f t="shared" si="52"/>
        <v>-6.3204068759391419</v>
      </c>
      <c r="Q72" s="221">
        <f t="shared" si="53"/>
        <v>0.95621801486979652</v>
      </c>
      <c r="R72" s="573"/>
      <c r="S72" s="49"/>
      <c r="T72" s="49"/>
      <c r="U72" s="18"/>
      <c r="V72" s="227"/>
      <c r="W72" s="18"/>
      <c r="X72" s="18"/>
      <c r="Y72" s="33">
        <f>SUM(Y64:Y71)</f>
        <v>0</v>
      </c>
      <c r="Z72" s="33">
        <f>SUM(Z64:Z71)</f>
        <v>0</v>
      </c>
      <c r="AA72" s="572"/>
      <c r="AB72" s="572"/>
      <c r="AC72" s="33">
        <v>8</v>
      </c>
      <c r="AD72" s="33">
        <f>SUM(AD64:AD71)</f>
        <v>0</v>
      </c>
      <c r="AE72" s="20">
        <f t="shared" si="43"/>
        <v>-105.07676431248819</v>
      </c>
      <c r="AF72" s="221">
        <f t="shared" si="54"/>
        <v>0.95621801486979663</v>
      </c>
      <c r="AG72" s="573"/>
    </row>
    <row r="73" spans="1:33">
      <c r="D73" s="35"/>
      <c r="E73" s="35"/>
    </row>
  </sheetData>
  <mergeCells count="197">
    <mergeCell ref="A57:A63"/>
    <mergeCell ref="C57:D57"/>
    <mergeCell ref="R57:R63"/>
    <mergeCell ref="AA57:AB57"/>
    <mergeCell ref="A64:A72"/>
    <mergeCell ref="C64:D64"/>
    <mergeCell ref="R64:R72"/>
    <mergeCell ref="AA64:AB64"/>
    <mergeCell ref="AG64:AG72"/>
    <mergeCell ref="C65:D65"/>
    <mergeCell ref="AA65:AB65"/>
    <mergeCell ref="C66:D66"/>
    <mergeCell ref="AA66:AB66"/>
    <mergeCell ref="C67:D67"/>
    <mergeCell ref="C71:D71"/>
    <mergeCell ref="AA71:AB71"/>
    <mergeCell ref="C72:D72"/>
    <mergeCell ref="AA72:AB72"/>
    <mergeCell ref="AA67:AB67"/>
    <mergeCell ref="C68:D68"/>
    <mergeCell ref="AA68:AB68"/>
    <mergeCell ref="C69:D69"/>
    <mergeCell ref="AA69:AB69"/>
    <mergeCell ref="C70:D70"/>
    <mergeCell ref="AA70:AB70"/>
    <mergeCell ref="AG57:AG63"/>
    <mergeCell ref="C58:D58"/>
    <mergeCell ref="AA58:AB58"/>
    <mergeCell ref="C59:D59"/>
    <mergeCell ref="AA59:AB59"/>
    <mergeCell ref="C60:D60"/>
    <mergeCell ref="AA53:AB53"/>
    <mergeCell ref="C54:D54"/>
    <mergeCell ref="AA54:AB54"/>
    <mergeCell ref="C55:D55"/>
    <mergeCell ref="AA55:AB55"/>
    <mergeCell ref="C56:D56"/>
    <mergeCell ref="AA56:AB56"/>
    <mergeCell ref="AA60:AB60"/>
    <mergeCell ref="C61:D61"/>
    <mergeCell ref="AA61:AB61"/>
    <mergeCell ref="C62:D62"/>
    <mergeCell ref="AA62:AB62"/>
    <mergeCell ref="C63:D63"/>
    <mergeCell ref="AA63:AB63"/>
    <mergeCell ref="A49:A56"/>
    <mergeCell ref="C49:D49"/>
    <mergeCell ref="R49:R56"/>
    <mergeCell ref="AA49:AB49"/>
    <mergeCell ref="AG49:AG56"/>
    <mergeCell ref="C50:D50"/>
    <mergeCell ref="AA50:AB50"/>
    <mergeCell ref="C51:D51"/>
    <mergeCell ref="AA51:AB51"/>
    <mergeCell ref="AA52:AB52"/>
    <mergeCell ref="AG44:AG48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A44:A48"/>
    <mergeCell ref="C44:D44"/>
    <mergeCell ref="R44:R48"/>
    <mergeCell ref="AA44:AB44"/>
    <mergeCell ref="C39:D39"/>
    <mergeCell ref="AA39:AB39"/>
    <mergeCell ref="C40:D40"/>
    <mergeCell ref="AA40:AB40"/>
    <mergeCell ref="C41:D41"/>
    <mergeCell ref="AA41:AB41"/>
    <mergeCell ref="A36:A43"/>
    <mergeCell ref="C36:D36"/>
    <mergeCell ref="R36:R43"/>
    <mergeCell ref="AA36:AB36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G36:AG43"/>
    <mergeCell ref="C37:D37"/>
    <mergeCell ref="AA37:AB37"/>
    <mergeCell ref="C38:D38"/>
    <mergeCell ref="AA38:AB38"/>
    <mergeCell ref="C42:D42"/>
    <mergeCell ref="AA42:AB42"/>
    <mergeCell ref="C43:D43"/>
    <mergeCell ref="AA43:AB43"/>
    <mergeCell ref="A28:A35"/>
    <mergeCell ref="C28:D28"/>
    <mergeCell ref="R28:R35"/>
    <mergeCell ref="AA28:AB28"/>
    <mergeCell ref="AA33:AB33"/>
    <mergeCell ref="C34:D34"/>
    <mergeCell ref="AA34:AB34"/>
    <mergeCell ref="C35:D35"/>
    <mergeCell ref="AA35:AB35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5:A20"/>
    <mergeCell ref="C15:D15"/>
    <mergeCell ref="R15:R20"/>
    <mergeCell ref="AA15:AB15"/>
    <mergeCell ref="AG15:AG20"/>
    <mergeCell ref="C16:D16"/>
    <mergeCell ref="AA16:AB16"/>
    <mergeCell ref="C17:D17"/>
    <mergeCell ref="AA17:AB17"/>
    <mergeCell ref="C18:D18"/>
    <mergeCell ref="AG11:AG14"/>
    <mergeCell ref="C12:D12"/>
    <mergeCell ref="AA12:AB12"/>
    <mergeCell ref="C13:D13"/>
    <mergeCell ref="AA13:AB13"/>
    <mergeCell ref="C14:D14"/>
    <mergeCell ref="AA14:AB14"/>
    <mergeCell ref="AA18:AB18"/>
    <mergeCell ref="C19:D19"/>
    <mergeCell ref="AA19:AB19"/>
    <mergeCell ref="C20:D20"/>
    <mergeCell ref="AA20:AB20"/>
    <mergeCell ref="A11:A14"/>
    <mergeCell ref="C11:D11"/>
    <mergeCell ref="R11:R14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0:O69 O56:O57 O72 O5:O11 O14:O16 O20:O54">
    <cfRule type="cellIs" dxfId="328" priority="51" operator="greaterThan">
      <formula>0</formula>
    </cfRule>
  </conditionalFormatting>
  <conditionalFormatting sqref="P5:P9 P60:P62 AE60:AE62 P64:P69 P28:P34 P57 P11 P14:P16 P21:P26 P49:P54 P36:P47 AE5:AE57 AE64:AE72">
    <cfRule type="cellIs" dxfId="327" priority="55" operator="lessThan">
      <formula>0</formula>
    </cfRule>
  </conditionalFormatting>
  <conditionalFormatting sqref="AF60:AF62 Q60:Q69 Q56:Q57 Q72 Q5:Q11 Q14:Q16 Q20:Q54 AF5:AF57 AF64:AF72">
    <cfRule type="cellIs" dxfId="326" priority="52" operator="greaterThan">
      <formula>1</formula>
    </cfRule>
    <cfRule type="cellIs" dxfId="325" priority="53" operator="lessThan">
      <formula>0.8</formula>
    </cfRule>
  </conditionalFormatting>
  <conditionalFormatting sqref="AG15:AG16 R15:R16 AG60 R60:R69 AG56:AG57 R56:R57 R72 AG5:AG11 R5:R11 R20:R54 AG20:AG54">
    <cfRule type="cellIs" dxfId="324" priority="57" operator="lessThan">
      <formula>0.8</formula>
    </cfRule>
  </conditionalFormatting>
  <conditionalFormatting sqref="AG44">
    <cfRule type="cellIs" dxfId="323" priority="59" operator="lessThan">
      <formula>0.8</formula>
    </cfRule>
  </conditionalFormatting>
  <conditionalFormatting sqref="AG21:AG26">
    <cfRule type="cellIs" dxfId="322" priority="56" operator="lessThan">
      <formula>0.8</formula>
    </cfRule>
  </conditionalFormatting>
  <conditionalFormatting sqref="AG28">
    <cfRule type="cellIs" dxfId="321" priority="58" operator="lessThan">
      <formula>0.8</formula>
    </cfRule>
  </conditionalFormatting>
  <conditionalFormatting sqref="AG36:AG42">
    <cfRule type="cellIs" dxfId="320" priority="54" operator="lessThan">
      <formula>0.8</formula>
    </cfRule>
  </conditionalFormatting>
  <conditionalFormatting sqref="AE63">
    <cfRule type="cellIs" dxfId="319" priority="50" operator="lessThan">
      <formula>0</formula>
    </cfRule>
  </conditionalFormatting>
  <conditionalFormatting sqref="AF63">
    <cfRule type="cellIs" dxfId="318" priority="48" operator="greaterThan">
      <formula>1</formula>
    </cfRule>
    <cfRule type="cellIs" dxfId="317" priority="49" operator="lessThan">
      <formula>0.8</formula>
    </cfRule>
  </conditionalFormatting>
  <conditionalFormatting sqref="O17:O18">
    <cfRule type="cellIs" dxfId="316" priority="43" operator="greaterThan">
      <formula>0</formula>
    </cfRule>
  </conditionalFormatting>
  <conditionalFormatting sqref="P17:P18">
    <cfRule type="cellIs" dxfId="315" priority="46" operator="lessThan">
      <formula>0</formula>
    </cfRule>
  </conditionalFormatting>
  <conditionalFormatting sqref="Q17:Q18">
    <cfRule type="cellIs" dxfId="314" priority="44" operator="greaterThan">
      <formula>1</formula>
    </cfRule>
    <cfRule type="cellIs" dxfId="313" priority="45" operator="lessThan">
      <formula>0.8</formula>
    </cfRule>
  </conditionalFormatting>
  <conditionalFormatting sqref="R17:R18 AG17:AG18">
    <cfRule type="cellIs" dxfId="312" priority="47" operator="lessThan">
      <formula>0.8</formula>
    </cfRule>
  </conditionalFormatting>
  <conditionalFormatting sqref="O12:O13">
    <cfRule type="cellIs" dxfId="311" priority="39" operator="greaterThan">
      <formula>0</formula>
    </cfRule>
  </conditionalFormatting>
  <conditionalFormatting sqref="P12:P13">
    <cfRule type="cellIs" dxfId="310" priority="42" operator="lessThan">
      <formula>0</formula>
    </cfRule>
  </conditionalFormatting>
  <conditionalFormatting sqref="Q12:Q13">
    <cfRule type="cellIs" dxfId="309" priority="40" operator="greaterThan">
      <formula>1</formula>
    </cfRule>
    <cfRule type="cellIs" dxfId="308" priority="41" operator="lessThan">
      <formula>0.8</formula>
    </cfRule>
  </conditionalFormatting>
  <conditionalFormatting sqref="O55">
    <cfRule type="cellIs" dxfId="307" priority="34" operator="greaterThan">
      <formula>0</formula>
    </cfRule>
  </conditionalFormatting>
  <conditionalFormatting sqref="P55">
    <cfRule type="cellIs" dxfId="306" priority="37" operator="lessThan">
      <formula>0</formula>
    </cfRule>
  </conditionalFormatting>
  <conditionalFormatting sqref="Q55">
    <cfRule type="cellIs" dxfId="305" priority="35" operator="greaterThan">
      <formula>1</formula>
    </cfRule>
    <cfRule type="cellIs" dxfId="304" priority="36" operator="lessThan">
      <formula>0.8</formula>
    </cfRule>
  </conditionalFormatting>
  <conditionalFormatting sqref="R55 AG55">
    <cfRule type="cellIs" dxfId="303" priority="38" operator="lessThan">
      <formula>0.8</formula>
    </cfRule>
  </conditionalFormatting>
  <conditionalFormatting sqref="O59">
    <cfRule type="cellIs" dxfId="302" priority="29" operator="greaterThan">
      <formula>0</formula>
    </cfRule>
  </conditionalFormatting>
  <conditionalFormatting sqref="P59 AE59">
    <cfRule type="cellIs" dxfId="301" priority="32" operator="lessThan">
      <formula>0</formula>
    </cfRule>
  </conditionalFormatting>
  <conditionalFormatting sqref="Q59 AF59">
    <cfRule type="cellIs" dxfId="300" priority="30" operator="greaterThan">
      <formula>1</formula>
    </cfRule>
    <cfRule type="cellIs" dxfId="299" priority="31" operator="lessThan">
      <formula>0.8</formula>
    </cfRule>
  </conditionalFormatting>
  <conditionalFormatting sqref="R59 AG59">
    <cfRule type="cellIs" dxfId="298" priority="33" operator="lessThan">
      <formula>0.8</formula>
    </cfRule>
  </conditionalFormatting>
  <conditionalFormatting sqref="O70">
    <cfRule type="cellIs" dxfId="297" priority="24" operator="greaterThan">
      <formula>0</formula>
    </cfRule>
  </conditionalFormatting>
  <conditionalFormatting sqref="P70">
    <cfRule type="cellIs" dxfId="296" priority="27" operator="lessThan">
      <formula>0</formula>
    </cfRule>
  </conditionalFormatting>
  <conditionalFormatting sqref="Q70">
    <cfRule type="cellIs" dxfId="295" priority="25" operator="greaterThan">
      <formula>1</formula>
    </cfRule>
    <cfRule type="cellIs" dxfId="294" priority="26" operator="lessThan">
      <formula>0.8</formula>
    </cfRule>
  </conditionalFormatting>
  <conditionalFormatting sqref="R70">
    <cfRule type="cellIs" dxfId="293" priority="28" operator="lessThan">
      <formula>0.8</formula>
    </cfRule>
  </conditionalFormatting>
  <conditionalFormatting sqref="O19">
    <cfRule type="cellIs" dxfId="292" priority="19" operator="greaterThan">
      <formula>0</formula>
    </cfRule>
  </conditionalFormatting>
  <conditionalFormatting sqref="P19">
    <cfRule type="cellIs" dxfId="291" priority="22" operator="lessThan">
      <formula>0</formula>
    </cfRule>
  </conditionalFormatting>
  <conditionalFormatting sqref="Q19">
    <cfRule type="cellIs" dxfId="290" priority="20" operator="greaterThan">
      <formula>1</formula>
    </cfRule>
    <cfRule type="cellIs" dxfId="289" priority="21" operator="lessThan">
      <formula>0.8</formula>
    </cfRule>
  </conditionalFormatting>
  <conditionalFormatting sqref="R19 AG19">
    <cfRule type="cellIs" dxfId="288" priority="23" operator="lessThan">
      <formula>0.8</formula>
    </cfRule>
  </conditionalFormatting>
  <conditionalFormatting sqref="O58">
    <cfRule type="cellIs" dxfId="287" priority="14" operator="greaterThan">
      <formula>0</formula>
    </cfRule>
  </conditionalFormatting>
  <conditionalFormatting sqref="P58 AE58">
    <cfRule type="cellIs" dxfId="286" priority="17" operator="lessThan">
      <formula>0</formula>
    </cfRule>
  </conditionalFormatting>
  <conditionalFormatting sqref="Q58 AF58">
    <cfRule type="cellIs" dxfId="285" priority="15" operator="greaterThan">
      <formula>1</formula>
    </cfRule>
    <cfRule type="cellIs" dxfId="284" priority="16" operator="lessThan">
      <formula>0.8</formula>
    </cfRule>
  </conditionalFormatting>
  <conditionalFormatting sqref="R58 AG58">
    <cfRule type="cellIs" dxfId="283" priority="18" operator="lessThan">
      <formula>0.8</formula>
    </cfRule>
  </conditionalFormatting>
  <conditionalFormatting sqref="P10">
    <cfRule type="cellIs" dxfId="282" priority="13" operator="lessThan">
      <formula>0</formula>
    </cfRule>
  </conditionalFormatting>
  <conditionalFormatting sqref="P20">
    <cfRule type="cellIs" dxfId="281" priority="12" operator="lessThan">
      <formula>0</formula>
    </cfRule>
  </conditionalFormatting>
  <conditionalFormatting sqref="P27">
    <cfRule type="cellIs" dxfId="280" priority="11" operator="lessThan">
      <formula>0</formula>
    </cfRule>
  </conditionalFormatting>
  <conditionalFormatting sqref="P35">
    <cfRule type="cellIs" dxfId="279" priority="10" operator="lessThan">
      <formula>0</formula>
    </cfRule>
  </conditionalFormatting>
  <conditionalFormatting sqref="P48">
    <cfRule type="cellIs" dxfId="278" priority="9" operator="lessThan">
      <formula>0</formula>
    </cfRule>
  </conditionalFormatting>
  <conditionalFormatting sqref="P56">
    <cfRule type="cellIs" dxfId="277" priority="8" operator="lessThan">
      <formula>0</formula>
    </cfRule>
  </conditionalFormatting>
  <conditionalFormatting sqref="P63">
    <cfRule type="cellIs" dxfId="276" priority="7" operator="lessThan">
      <formula>0</formula>
    </cfRule>
  </conditionalFormatting>
  <conditionalFormatting sqref="P72">
    <cfRule type="cellIs" dxfId="275" priority="6" operator="lessThan">
      <formula>0</formula>
    </cfRule>
  </conditionalFormatting>
  <conditionalFormatting sqref="O71">
    <cfRule type="cellIs" dxfId="274" priority="1" operator="greaterThan">
      <formula>0</formula>
    </cfRule>
  </conditionalFormatting>
  <conditionalFormatting sqref="P71">
    <cfRule type="cellIs" dxfId="273" priority="4" operator="lessThan">
      <formula>0</formula>
    </cfRule>
  </conditionalFormatting>
  <conditionalFormatting sqref="Q71">
    <cfRule type="cellIs" dxfId="272" priority="2" operator="greaterThan">
      <formula>1</formula>
    </cfRule>
    <cfRule type="cellIs" dxfId="271" priority="3" operator="lessThan">
      <formula>0.8</formula>
    </cfRule>
  </conditionalFormatting>
  <conditionalFormatting sqref="R71">
    <cfRule type="cellIs" dxfId="270" priority="5" operator="lessThan">
      <formula>0.8</formula>
    </cfRule>
  </conditionalFormatting>
  <dataValidations count="1">
    <dataValidation type="list" allowBlank="1" showInputMessage="1" showErrorMessage="1" sqref="AB10 AA5:AB9 AB61:AB62 AB12:AB57 AA10:AA62 AA63:AB7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1:Q32"/>
  <sheetViews>
    <sheetView zoomScale="85" zoomScaleNormal="85" workbookViewId="0">
      <selection activeCell="D10" sqref="D10:J1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425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426</v>
      </c>
      <c r="C3" s="555" t="str">
        <f>TEXT('0504 4度C'!A2,"yyyy.mm.ddaaaa")</f>
        <v>2026.05.04星期一</v>
      </c>
      <c r="D3" s="556"/>
      <c r="E3" s="54" t="s">
        <v>427</v>
      </c>
      <c r="F3" s="557">
        <f>'0504 4度C'!D1</f>
        <v>183892</v>
      </c>
      <c r="G3" s="558"/>
      <c r="H3" s="54" t="s">
        <v>428</v>
      </c>
      <c r="I3" s="559">
        <f>'0504 4度C'!F1</f>
        <v>6294114.0900000017</v>
      </c>
      <c r="J3" s="560"/>
      <c r="K3" s="55"/>
      <c r="L3" s="56"/>
      <c r="M3" s="57"/>
      <c r="N3" s="57"/>
    </row>
    <row r="4" spans="2:17" ht="28.5" customHeight="1">
      <c r="B4" s="561" t="s">
        <v>429</v>
      </c>
      <c r="C4" s="547" t="s">
        <v>430</v>
      </c>
      <c r="D4" s="548"/>
      <c r="E4" s="564" t="s">
        <v>431</v>
      </c>
      <c r="F4" s="565"/>
      <c r="G4" s="564" t="s">
        <v>432</v>
      </c>
      <c r="H4" s="565"/>
      <c r="I4" s="564" t="s">
        <v>433</v>
      </c>
      <c r="J4" s="565"/>
      <c r="K4" s="545" t="s">
        <v>434</v>
      </c>
      <c r="L4" s="546"/>
      <c r="M4" s="546" t="s">
        <v>435</v>
      </c>
      <c r="N4" s="546"/>
    </row>
    <row r="5" spans="2:17" ht="28.5" customHeight="1">
      <c r="B5" s="562"/>
      <c r="C5" s="547" t="s">
        <v>436</v>
      </c>
      <c r="D5" s="548"/>
      <c r="E5" s="547" t="s">
        <v>437</v>
      </c>
      <c r="F5" s="548"/>
      <c r="G5" s="549" t="s">
        <v>438</v>
      </c>
      <c r="H5" s="550"/>
      <c r="I5" s="551" t="s">
        <v>439</v>
      </c>
      <c r="J5" s="552"/>
      <c r="K5" s="58" t="s">
        <v>440</v>
      </c>
      <c r="L5" s="59" t="s">
        <v>441</v>
      </c>
      <c r="M5" s="58" t="s">
        <v>440</v>
      </c>
      <c r="N5" s="59" t="s">
        <v>442</v>
      </c>
    </row>
    <row r="6" spans="2:17" ht="28.5" customHeight="1">
      <c r="B6" s="562"/>
      <c r="C6" s="547" t="s">
        <v>145</v>
      </c>
      <c r="D6" s="548"/>
      <c r="E6" s="539">
        <f>AVERAGE(D13:M13)</f>
        <v>153.4162244524417</v>
      </c>
      <c r="F6" s="540">
        <f>AVERAGE(D31:O31,D13:J13)</f>
        <v>158.21809546313412</v>
      </c>
      <c r="G6" s="541">
        <f>AVERAGE(D13:J13)</f>
        <v>158.21809546313412</v>
      </c>
      <c r="H6" s="542"/>
      <c r="I6" s="541">
        <f>AVERAGE(K13:M13)</f>
        <v>142.21185876082609</v>
      </c>
      <c r="J6" s="542"/>
      <c r="K6" s="543">
        <f>'0504 4度C'!Y2</f>
        <v>0</v>
      </c>
      <c r="L6" s="528">
        <f>'0504 4度C'!Z2</f>
        <v>0</v>
      </c>
      <c r="M6" s="544">
        <f>'0504 4度C'!AC2</f>
        <v>55</v>
      </c>
      <c r="N6" s="528">
        <f>'0504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146.77215005524175</v>
      </c>
      <c r="F7" s="532">
        <f>AVERAGE(D32:O32,D14:J14)</f>
        <v>151.4707444380758</v>
      </c>
      <c r="G7" s="533">
        <f>AVERAGE(D14:J14)</f>
        <v>151.4707444380758</v>
      </c>
      <c r="H7" s="534"/>
      <c r="I7" s="533">
        <f>AVERAGE(K14:M14)</f>
        <v>135.80876316196233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0.95680758306783198</v>
      </c>
      <c r="F8" s="536">
        <f>AVERAGE(D15:J15,D33:O33)</f>
        <v>0.95762051247305191</v>
      </c>
      <c r="G8" s="537">
        <f>AVERAGE(D15:J15)</f>
        <v>0.95762051247305191</v>
      </c>
      <c r="H8" s="538"/>
      <c r="I8" s="537">
        <f>AVERAGE(K15:M15)</f>
        <v>0.95491074778898566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443</v>
      </c>
      <c r="N9" s="57"/>
      <c r="O9" s="57"/>
      <c r="P9" s="57"/>
      <c r="Q9" s="57"/>
    </row>
    <row r="10" spans="2:17" ht="30" customHeight="1">
      <c r="B10" s="511" t="s">
        <v>444</v>
      </c>
      <c r="C10" s="512"/>
      <c r="D10" s="513" t="s">
        <v>445</v>
      </c>
      <c r="E10" s="514"/>
      <c r="F10" s="514"/>
      <c r="G10" s="514"/>
      <c r="H10" s="514"/>
      <c r="I10" s="514"/>
      <c r="J10" s="515"/>
      <c r="K10" s="516" t="s">
        <v>446</v>
      </c>
      <c r="L10" s="517"/>
      <c r="M10" s="518"/>
      <c r="P10" s="63"/>
      <c r="Q10" s="63"/>
    </row>
    <row r="11" spans="2:17" ht="17.25" customHeight="1">
      <c r="B11" s="519" t="s">
        <v>447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448</v>
      </c>
      <c r="C13" s="70" t="s">
        <v>449</v>
      </c>
      <c r="D13" s="71">
        <f>SUMIFS('0504 4度C'!$K:$K,'0504 4度C'!$A:$A,"新豐6線",'0504 4度C'!$B:$B,"平均")</f>
        <v>121.95121951219514</v>
      </c>
      <c r="E13" s="72">
        <f>SUMIFS('0504 4度C'!$K:$K,'0504 4度C'!$A:$A,"新豐2線",'0504 4度C'!$B:$B,"平均")</f>
        <v>83.333333333333329</v>
      </c>
      <c r="F13" s="73">
        <f>SUMIFS('0504 4度C'!$K:$K,'0504 4度C'!$A:$A,"新豐5線",'0504 4度C'!$B:$B,"平均")</f>
        <v>105.88235294117646</v>
      </c>
      <c r="G13" s="73">
        <f>SUMIFS('0504 4度C'!$K:$K,'0504 4度C'!$A:$A,"新豐7線",'0504 4度C'!$B:$B,"平均")</f>
        <v>121.05263157894737</v>
      </c>
      <c r="H13" s="73">
        <f>SUMIFS('0504 4度C'!$K:$K,'0504 4度C'!$A:$A,"新豐3線",'0504 4度C'!$B:$B,"平均")</f>
        <v>255.81395348837211</v>
      </c>
      <c r="I13" s="73">
        <f>SUMIFS('0504 4度C'!$K:$K,'0504 4度C'!$A:$A,"新豐1線",'0504 4度C'!$B:$B,"平均")</f>
        <v>103.70370370370371</v>
      </c>
      <c r="J13" s="74">
        <f>SUMIFS('0504 4度C'!$K:$K,'0504 4度C'!$A:$A,"新豐10線",'0504 4度C'!$B:$B,"平均")</f>
        <v>315.78947368421052</v>
      </c>
      <c r="K13" s="75">
        <f>SUMIFS('0504 4度C'!$K:$K,'0504 4度C'!$A:$A,"新豐8線",'0504 4度C'!$B:$B,"平均")</f>
        <v>140</v>
      </c>
      <c r="L13" s="76">
        <f>SUMIFS('0504 4度C'!$K:$K,'0504 4度C'!$A:$A,"新豐9線",'0504 4度C'!$B:$B,"平均")</f>
        <v>134.73684210526315</v>
      </c>
      <c r="M13" s="74">
        <f>SUMIFS('0504 4度C'!$K:$K,'0504 4度C'!$A:$A,"新豐4線",'0504 4度C'!$B:$B,"平均")</f>
        <v>151.89873417721518</v>
      </c>
    </row>
    <row r="14" spans="2:17" ht="39.6" customHeight="1">
      <c r="B14" s="524"/>
      <c r="C14" s="77" t="s">
        <v>450</v>
      </c>
      <c r="D14" s="78">
        <f>SUMIFS('0504 4度C'!$N:$N,'0504 4度C'!$A:$A,"新豐6線",'0504 4度C'!$B:$B,"平均")</f>
        <v>116.84160646591795</v>
      </c>
      <c r="E14" s="79">
        <f>SUMIFS('0504 4度C'!$N:$N,'0504 4度C'!$A:$A,"新豐2線",'0504 4度C'!$B:$B,"平均")</f>
        <v>79.734104328583925</v>
      </c>
      <c r="F14" s="79">
        <f>SUMIFS('0504 4度C'!$N:$N,'0504 4度C'!$A:$A,"新豐5線",'0504 4度C'!$B:$B,"平均")</f>
        <v>101.73662766542026</v>
      </c>
      <c r="G14" s="79">
        <f>SUMIFS('0504 4度C'!$N:$N,'0504 4度C'!$A:$A,"新豐7線",'0504 4度C'!$B:$B,"平均")</f>
        <v>116.01766347111455</v>
      </c>
      <c r="H14" s="79">
        <f>SUMIFS('0504 4度C'!$N:$N,'0504 4度C'!$A:$A,"新豐3線",'0504 4度C'!$B:$B,"平均")</f>
        <v>243.84561143589667</v>
      </c>
      <c r="I14" s="79">
        <f>SUMIFS('0504 4度C'!$N:$N,'0504 4度C'!$A:$A,"新豐1線",'0504 4度C'!$B:$B,"平均")</f>
        <v>99.223001952833684</v>
      </c>
      <c r="J14" s="80">
        <f>SUMIFS('0504 4度C'!$N:$N,'0504 4度C'!$A:$A,"新豐10線",'0504 4度C'!$B:$B,"平均")</f>
        <v>302.89659574676369</v>
      </c>
      <c r="K14" s="81">
        <f>SUMIFS('0504 4度C'!$N:$N,'0504 4度C'!$A:$A,"新豐8線",'0504 4度C'!$B:$B,"平均")</f>
        <v>133.67936779093</v>
      </c>
      <c r="L14" s="82">
        <f>SUMIFS('0504 4度C'!$N:$N,'0504 4度C'!$A:$A,"新豐9線",'0504 4度C'!$B:$B,"平均")</f>
        <v>128.45203295056174</v>
      </c>
      <c r="M14" s="80">
        <f>SUMIFS('0504 4度C'!$N:$N,'0504 4度C'!$A:$A,"新豐4線",'0504 4度C'!$B:$B,"平均")</f>
        <v>145.29488874439519</v>
      </c>
    </row>
    <row r="15" spans="2:17" ht="40.15" customHeight="1">
      <c r="B15" s="525"/>
      <c r="C15" s="83" t="s">
        <v>451</v>
      </c>
      <c r="D15" s="84">
        <f t="shared" ref="D15:M15" si="0">D14/D13</f>
        <v>0.958101173020527</v>
      </c>
      <c r="E15" s="85">
        <f t="shared" si="0"/>
        <v>0.95680925194300714</v>
      </c>
      <c r="F15" s="85">
        <f t="shared" si="0"/>
        <v>0.96084592795119139</v>
      </c>
      <c r="G15" s="85">
        <f t="shared" si="0"/>
        <v>0.95840678519616362</v>
      </c>
      <c r="H15" s="85">
        <f t="shared" si="0"/>
        <v>0.95321466288577783</v>
      </c>
      <c r="I15" s="85">
        <f t="shared" si="0"/>
        <v>0.95679323311661046</v>
      </c>
      <c r="J15" s="86">
        <f t="shared" si="0"/>
        <v>0.95917255319808503</v>
      </c>
      <c r="K15" s="84">
        <f t="shared" si="0"/>
        <v>0.95485262707807139</v>
      </c>
      <c r="L15" s="85">
        <f t="shared" si="0"/>
        <v>0.95335493205495048</v>
      </c>
      <c r="M15" s="86">
        <f t="shared" si="0"/>
        <v>0.95652468423393511</v>
      </c>
    </row>
    <row r="16" spans="2:17" ht="17.25" customHeight="1">
      <c r="B16" s="526" t="s">
        <v>452</v>
      </c>
      <c r="C16" s="87" t="s">
        <v>453</v>
      </c>
      <c r="D16" s="88">
        <f>VLOOKUP("新豐6線",'0504 4度C'!$A:$T,19,0)</f>
        <v>0.70833333333333337</v>
      </c>
      <c r="E16" s="89">
        <f>VLOOKUP("新豐2線",'0504 4度C'!$A:$T,19,0)</f>
        <v>0.20833333333333334</v>
      </c>
      <c r="F16" s="89">
        <f>VLOOKUP("新豐5線",'0504 4度C'!$A:$T,19,0)</f>
        <v>0.20833333333333334</v>
      </c>
      <c r="G16" s="89">
        <f>VLOOKUP("新豐7線",'0504 4度C'!$A:$T,19,0)</f>
        <v>0.20833333333333334</v>
      </c>
      <c r="H16" s="89">
        <f>VLOOKUP("新豐3線",'0504 4度C'!$A:$T,19,0)</f>
        <v>8.3333333333333329E-2</v>
      </c>
      <c r="I16" s="89">
        <f>VLOOKUP("新豐1線",'0504 4度C'!$A:$T,19,0)</f>
        <v>0.20833333333333334</v>
      </c>
      <c r="J16" s="90">
        <f>VLOOKUP("新豐10線",'0504 4度C'!$A:$T,19,0)</f>
        <v>0.20833333333333334</v>
      </c>
      <c r="K16" s="91">
        <f>VLOOKUP("新豐8線",'0504 4度C'!$A:$T,19,0)</f>
        <v>8.3333333333333329E-2</v>
      </c>
      <c r="L16" s="92">
        <f>VLOOKUP("新豐9線",'0504 4度C'!$A:$T,19,0)</f>
        <v>8.3333333333333329E-2</v>
      </c>
      <c r="M16" s="93">
        <f>VLOOKUP("新豐4線",'0504 4度C'!$A:$T,19,0)</f>
        <v>8.3333333333333329E-2</v>
      </c>
    </row>
    <row r="17" spans="2:13" ht="17.25" customHeight="1">
      <c r="B17" s="527"/>
      <c r="C17" s="87" t="s">
        <v>454</v>
      </c>
      <c r="D17" s="91">
        <f>LOOKUP(2,1/(('0504 4度C'!$A:$A="新豐6線")*('0504 4度C'!$T:$T&lt;&gt;"")),'0504 4度C'!$T:$T)</f>
        <v>0.90486111111111112</v>
      </c>
      <c r="E17" s="89">
        <f>LOOKUP(2,1/(('0504 4度C'!$A:$A="新豐2線")*('0504 4度C'!$T:$T&lt;&gt;"")),'0504 4度C'!$T:$T)</f>
        <v>0.63680555555555551</v>
      </c>
      <c r="F17" s="89">
        <f>LOOKUP(2,1/(('0504 4度C'!$A:$A="新豐5線")*('0504 4度C'!$T:$T&lt;&gt;"")),'0504 4度C'!$T:$T)</f>
        <v>0.89027777777777772</v>
      </c>
      <c r="G17" s="89">
        <f>LOOKUP(2,1/(('0504 4度C'!$A:$A="新豐7線")*('0504 4度C'!$T:$T&lt;&gt;"")),'0504 4度C'!$T:$T)</f>
        <v>0.81944444444444453</v>
      </c>
      <c r="H17" s="89">
        <f>LOOKUP(2,1/(('0504 4度C'!$A:$A="新豐3線")*('0504 4度C'!$T:$T&lt;&gt;"")),'0504 4度C'!$T:$T)</f>
        <v>0.46666666666666662</v>
      </c>
      <c r="I17" s="89">
        <f>LOOKUP(2,1/(('0504 4度C'!$A:$A="新豐1線")*('0504 4度C'!$T:$T&lt;&gt;"")),'0504 4度C'!$T:$T)</f>
        <v>0.82499999999999996</v>
      </c>
      <c r="J17" s="90">
        <f>LOOKUP(2,1/(('0504 4度C'!$A:$A="新豐10線")*('0504 4度C'!$T:$T&lt;&gt;"")),'0504 4度C'!$T:$T)</f>
        <v>0.44999999999999996</v>
      </c>
      <c r="K17" s="88">
        <f>LOOKUP(2,1/(('0504 4度C'!$A:$A="新豐8線")*('0504 4度C'!$T:$T&lt;&gt;"")),'0504 4度C'!$T:$T)</f>
        <v>0.74236111111111114</v>
      </c>
      <c r="L17" s="89">
        <f>LOOKUP(2,1/(('0504 4度C'!$A:$A="新豐9線")*('0504 4度C'!$T:$T&lt;&gt;"")),'0504 4度C'!$T:$T)</f>
        <v>0.70486111111111094</v>
      </c>
      <c r="M17" s="90">
        <f>LOOKUP(2,1/(('0504 4度C'!$A:$A="新豐4線")*('0504 4度C'!$T:$T&lt;&gt;"")),'0504 4度C'!$T:$T)</f>
        <v>0.68680555555555545</v>
      </c>
    </row>
    <row r="18" spans="2:13" ht="17.25" customHeight="1">
      <c r="B18" s="505" t="s">
        <v>455</v>
      </c>
      <c r="C18" s="94" t="s">
        <v>456</v>
      </c>
      <c r="D18" s="95">
        <f>SUMIFS('0504 4度C'!$Y:$Y,'0504 4度C'!$A:$A,"新豐6線",'0504 4度C'!$B:$B,"平均")</f>
        <v>0</v>
      </c>
      <c r="E18" s="96">
        <f>SUMIFS('0504 4度C'!$Y:$Y,'0504 4度C'!$A:$A,"新豐2線",'0504 4度C'!$B:$B,"平均")</f>
        <v>0</v>
      </c>
      <c r="F18" s="96">
        <f>SUMIFS('0504 4度C'!$Y:$Y,'0504 4度C'!$A:$A,"新豐5線",'0504 4度C'!$B:$B,"平均")</f>
        <v>0</v>
      </c>
      <c r="G18" s="96">
        <f>SUMIFS('0504 4度C'!$Y:$Y,'0504 4度C'!$A:$A,"新豐7線",'0504 4度C'!$B:$B,"平均")</f>
        <v>0</v>
      </c>
      <c r="H18" s="96">
        <f>SUMIFS('0504 4度C'!$Y:$Y,'0504 4度C'!$A:$A,"新豐3線",'0504 4度C'!$B:$B,"平均")</f>
        <v>0</v>
      </c>
      <c r="I18" s="96">
        <f>SUMIFS('0504 4度C'!$Y:$Y,'0504 4度C'!$A:$A,"新豐1線",'0504 4度C'!$B:$B,"平均")</f>
        <v>0</v>
      </c>
      <c r="J18" s="97">
        <f>SUMIFS('0504 4度C'!$Y:$Y,'0504 4度C'!$A:$A,"新豐10線",'0504 4度C'!$B:$B,"平均")</f>
        <v>0</v>
      </c>
      <c r="K18" s="98">
        <f>SUMIFS('0504 4度C'!$Y:$Y,'0504 4度C'!$A:$A,"新豐8線",'0504 4度C'!$B:$B,"平均")</f>
        <v>0</v>
      </c>
      <c r="L18" s="96">
        <f>SUMIFS('0504 4度C'!$Y:$Y,'0504 4度C'!$A:$A,"新豐9線",'0504 4度C'!$B:$B,"平均")</f>
        <v>0</v>
      </c>
      <c r="M18" s="97">
        <f>SUMIFS('0504 4度C'!$Y:$Y,'0504 4度C'!$A:$A,"新豐4線",'0504 4度C'!$B:$B,"平均")</f>
        <v>0</v>
      </c>
    </row>
    <row r="19" spans="2:13" ht="17.25" customHeight="1">
      <c r="B19" s="506"/>
      <c r="C19" s="94" t="s">
        <v>457</v>
      </c>
      <c r="D19" s="95">
        <f>SUMIFS('0504 4度C'!$Z:$Z,'0504 4度C'!$A:$A,"新豐6線",'0504 4度C'!$B:$B,"平均")</f>
        <v>0</v>
      </c>
      <c r="E19" s="96">
        <f>SUMIFS('0504 4度C'!$Z:$Z,'0504 4度C'!$A:$A,"新豐2線",'0504 4度C'!$B:$B,"平均")</f>
        <v>0</v>
      </c>
      <c r="F19" s="96">
        <f>SUMIFS('0504 4度C'!$Z:$Z,'0504 4度C'!$A:$A,"新豐5線",'0504 4度C'!$B:$B,"平均")</f>
        <v>0</v>
      </c>
      <c r="G19" s="96">
        <f>SUMIFS('0504 4度C'!$Z:$Z,'0504 4度C'!$A:$A,"新豐7線",'0504 4度C'!$B:$B,"平均")</f>
        <v>0</v>
      </c>
      <c r="H19" s="96">
        <f>SUMIFS('0504 4度C'!$Z:$Z,'0504 4度C'!$A:$A,"新豐3線",'0504 4度C'!$B:$B,"平均")</f>
        <v>0</v>
      </c>
      <c r="I19" s="96">
        <f>SUMIFS('0504 4度C'!$Z:$Z,'0504 4度C'!$A:$A,"新豐1線",'0504 4度C'!$B:$B,"平均")</f>
        <v>0</v>
      </c>
      <c r="J19" s="97">
        <f>SUMIFS('0504 4度C'!$Z:$Z,'0504 4度C'!$A:$A,"新豐10線",'0504 4度C'!$B:$B,"平均")</f>
        <v>0</v>
      </c>
      <c r="K19" s="98">
        <f>SUMIFS('0504 4度C'!$Z:$Z,'0504 4度C'!$A:$A,"新豐8線",'0504 4度C'!$B:$B,"平均")</f>
        <v>0</v>
      </c>
      <c r="L19" s="96">
        <f>SUMIFS('0504 4度C'!$Z:$Z,'0504 4度C'!$A:$A,"新豐9線",'0504 4度C'!$B:$B,"平均")</f>
        <v>0</v>
      </c>
      <c r="M19" s="97">
        <f>SUMIFS('0504 4度C'!$Z:$Z,'0504 4度C'!$A:$A,"新豐4線",'0504 4度C'!$B:$B,"平均")</f>
        <v>0</v>
      </c>
    </row>
    <row r="20" spans="2:13" ht="17.25" customHeight="1">
      <c r="B20" s="505" t="s">
        <v>458</v>
      </c>
      <c r="C20" s="94" t="s">
        <v>456</v>
      </c>
      <c r="D20" s="95">
        <f>SUMIFS('0504 4度C'!$AC:$AC,'0504 4度C'!$A:$A,"新豐6線",'0504 4度C'!$B:$B,"平均")</f>
        <v>5</v>
      </c>
      <c r="E20" s="96">
        <f>SUMIFS('0504 4度C'!$AC:$AC,'0504 4度C'!$A:$A,"新豐2線",'0504 4度C'!$B:$B,"平均")</f>
        <v>4</v>
      </c>
      <c r="F20" s="96">
        <f>SUMIFS('0504 4度C'!$AC:$AC,'0504 4度C'!$A:$A,"新豐5線",'0504 4度C'!$B:$B,"平均")</f>
        <v>5</v>
      </c>
      <c r="G20" s="96">
        <f>SUMIFS('0504 4度C'!$AC:$AC,'0504 4度C'!$A:$A,"新豐7線",'0504 4度C'!$B:$B,"平均")</f>
        <v>6</v>
      </c>
      <c r="H20" s="96">
        <f>SUMIFS('0504 4度C'!$AC:$AC,'0504 4度C'!$A:$A,"新豐3線",'0504 4度C'!$B:$B,"平均")</f>
        <v>4</v>
      </c>
      <c r="I20" s="96">
        <f>SUMIFS('0504 4度C'!$AC:$AC,'0504 4度C'!$A:$A,"新豐1線",'0504 4度C'!$B:$B,"平均")</f>
        <v>7</v>
      </c>
      <c r="J20" s="97">
        <f>SUMIFS('0504 4度C'!$AC:$AC,'0504 4度C'!$A:$A,"新豐10線",'0504 4度C'!$B:$B,"平均")</f>
        <v>6</v>
      </c>
      <c r="K20" s="98">
        <f>SUMIFS('0504 4度C'!$AC:$AC,'0504 4度C'!$A:$A,"新豐8線",'0504 4度C'!$B:$B,"平均")</f>
        <v>7</v>
      </c>
      <c r="L20" s="96">
        <f>SUMIFS('0504 4度C'!$AC:$AC,'0504 4度C'!$A:$A,"新豐9線",'0504 4度C'!$B:$B,"平均")</f>
        <v>6</v>
      </c>
      <c r="M20" s="97">
        <f>SUMIFS('0504 4度C'!$AC:$AC,'0504 4度C'!$A:$A,"新豐4線",'0504 4度C'!$B:$B,"平均")</f>
        <v>5</v>
      </c>
    </row>
    <row r="21" spans="2:13" ht="17.25" customHeight="1">
      <c r="B21" s="506"/>
      <c r="C21" s="94" t="s">
        <v>459</v>
      </c>
      <c r="D21" s="95">
        <f>SUMIFS('0504 4度C'!$AD:$AD,'0504 4度C'!$A:$A,"新豐6線",'0504 4度C'!$B:$B,"平均")</f>
        <v>0</v>
      </c>
      <c r="E21" s="96">
        <f>SUMIFS('0504 4度C'!$AD:$AD,'0504 4度C'!$A:$A,"新豐2線",'0504 4度C'!$B:$B,"平均")</f>
        <v>0</v>
      </c>
      <c r="F21" s="96">
        <f>SUMIFS('0504 4度C'!$AD:$AD,'0504 4度C'!$A:$A,"新豐5線",'0504 4度C'!$B:$B,"平均")</f>
        <v>0</v>
      </c>
      <c r="G21" s="96">
        <f>SUMIFS('0504 4度C'!$AD:$AD,'0504 4度C'!$A:$A,"新豐7線",'0504 4度C'!$B:$B,"平均")</f>
        <v>0</v>
      </c>
      <c r="H21" s="96">
        <f>SUMIFS('0504 4度C'!$AD:$AD,'0504 4度C'!$A:$A,"新豐3線",'0504 4度C'!$B:$B,"平均")</f>
        <v>0</v>
      </c>
      <c r="I21" s="96">
        <f>SUMIFS('0504 4度C'!$AD:$AD,'0504 4度C'!$A:$A,"新豐1線",'0504 4度C'!$B:$B,"平均")</f>
        <v>0</v>
      </c>
      <c r="J21" s="97">
        <f>SUMIFS('0504 4度C'!$AD:$AD,'0504 4度C'!$A:$A,"新豐10線",'0504 4度C'!$B:$B,"平均")</f>
        <v>0</v>
      </c>
      <c r="K21" s="98">
        <f>SUMIFS('0504 4度C'!$AD:$AD,'0504 4度C'!$A:$A,"新豐8線",'0504 4度C'!$B:$B,"平均")</f>
        <v>0</v>
      </c>
      <c r="L21" s="96">
        <f>SUMIFS('0504 4度C'!$AD:$AD,'0504 4度C'!$A:$A,"新豐9線",'0504 4度C'!$B:$B,"平均")</f>
        <v>0</v>
      </c>
      <c r="M21" s="97">
        <f>SUMIFS('0504 4度C'!$AD:$AD,'0504 4度C'!$A:$A,"新豐4線",'0504 4度C'!$B:$B,"平均")</f>
        <v>0</v>
      </c>
    </row>
    <row r="22" spans="2:13" ht="17.25" customHeight="1">
      <c r="B22" s="507" t="s">
        <v>460</v>
      </c>
      <c r="C22" s="508"/>
      <c r="D22" s="99">
        <f>SUMIFS('0504 4度C'!$I:$I,'0504 4度C'!$A:$A,"新豐6線",'0504 4度C'!$B:$B,"平均")</f>
        <v>16.399999999999999</v>
      </c>
      <c r="E22" s="100">
        <f>SUMIFS('0504 4度C'!$I:$I,'0504 4度C'!$A:$A,"新豐2線",'0504 4度C'!$B:$B,"平均")</f>
        <v>18</v>
      </c>
      <c r="F22" s="100">
        <f>SUMIFS('0504 4度C'!$I:$I,'0504 4度C'!$A:$A,"新豐5線",'0504 4度C'!$B:$B,"平均")</f>
        <v>17</v>
      </c>
      <c r="G22" s="100">
        <f>SUMIFS('0504 4度C'!$I:$I,'0504 4度C'!$A:$A,"新豐7線",'0504 4度C'!$B:$B,"平均")</f>
        <v>15.833333333333334</v>
      </c>
      <c r="H22" s="100">
        <f>SUMIFS('0504 4度C'!$I:$I,'0504 4度C'!$A:$A,"新豐3線",'0504 4度C'!$B:$B,"平均")</f>
        <v>10.75</v>
      </c>
      <c r="I22" s="100">
        <f>SUMIFS('0504 4度C'!$I:$I,'0504 4度C'!$A:$A,"新豐1線",'0504 4度C'!$B:$B,"平均")</f>
        <v>19.285714285714285</v>
      </c>
      <c r="J22" s="101">
        <f>SUMIFS('0504 4度C'!$I:$I,'0504 4度C'!$A:$A,"新豐10線",'0504 4度C'!$B:$B,"平均")</f>
        <v>9.5</v>
      </c>
      <c r="K22" s="99">
        <f>SUMIFS('0504 4度C'!$I:$I,'0504 4度C'!$A:$A,"新豐8線",'0504 4度C'!$B:$B,"平均")</f>
        <v>17.142857142857142</v>
      </c>
      <c r="L22" s="100">
        <f>SUMIFS('0504 4度C'!$I:$I,'0504 4度C'!$A:$A,"新豐9線",'0504 4度C'!$B:$B,"平均")</f>
        <v>15.833333333333334</v>
      </c>
      <c r="M22" s="101">
        <f>SUMIFS('0504 4度C'!$I:$I,'0504 4度C'!$A:$A,"新豐4線",'0504 4度C'!$B:$B,"平均")</f>
        <v>15.8</v>
      </c>
    </row>
    <row r="23" spans="2:13" ht="17.25" customHeight="1">
      <c r="B23" s="507" t="s">
        <v>461</v>
      </c>
      <c r="C23" s="508"/>
      <c r="D23" s="102" t="s">
        <v>177</v>
      </c>
      <c r="E23" s="103" t="s">
        <v>178</v>
      </c>
      <c r="F23" s="103" t="s">
        <v>462</v>
      </c>
      <c r="G23" s="103" t="s">
        <v>462</v>
      </c>
      <c r="H23" s="103" t="s">
        <v>180</v>
      </c>
      <c r="I23" s="103" t="s">
        <v>177</v>
      </c>
      <c r="J23" s="104" t="s">
        <v>180</v>
      </c>
      <c r="K23" s="102" t="s">
        <v>463</v>
      </c>
      <c r="L23" s="103" t="s">
        <v>463</v>
      </c>
      <c r="M23" s="104" t="s">
        <v>463</v>
      </c>
    </row>
    <row r="24" spans="2:13" ht="17.25" customHeight="1">
      <c r="B24" s="507" t="s">
        <v>464</v>
      </c>
      <c r="C24" s="508"/>
      <c r="D24" s="102"/>
      <c r="E24" s="103"/>
      <c r="F24" s="103" t="s">
        <v>465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466</v>
      </c>
      <c r="C25" s="510"/>
      <c r="D25" s="105"/>
      <c r="E25" s="106" t="s">
        <v>467</v>
      </c>
      <c r="F25" s="503" t="s">
        <v>468</v>
      </c>
      <c r="G25" s="504"/>
      <c r="H25" s="106" t="s">
        <v>469</v>
      </c>
      <c r="I25" s="106" t="s">
        <v>470</v>
      </c>
      <c r="J25" s="107" t="s">
        <v>469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6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">
    <pageSetUpPr fitToPage="1"/>
  </sheetPr>
  <dimension ref="A1:AG70"/>
  <sheetViews>
    <sheetView topLeftCell="E1" zoomScale="80" zoomScaleNormal="80" workbookViewId="0">
      <pane ySplit="4" topLeftCell="A5" activePane="bottomLeft" state="frozen"/>
      <selection activeCell="D10" sqref="D10:J10"/>
      <selection pane="bottomLeft" activeCell="T16" sqref="T1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471</v>
      </c>
      <c r="B1" s="1"/>
      <c r="C1" s="2" t="s">
        <v>472</v>
      </c>
      <c r="D1" s="3">
        <f>SUM(F5:F69)</f>
        <v>183892</v>
      </c>
      <c r="E1" s="125" t="s">
        <v>2</v>
      </c>
      <c r="F1" s="1">
        <f>SUM(G5:G69)</f>
        <v>6294114.0900000017</v>
      </c>
      <c r="G1" s="1" t="s">
        <v>473</v>
      </c>
      <c r="H1" s="5">
        <f>L10+L15+L48+L56+L21+L63+L36+L43+L28+L69</f>
        <v>155.54523809523809</v>
      </c>
      <c r="I1" s="617" t="s">
        <v>474</v>
      </c>
      <c r="J1" s="617"/>
      <c r="K1" s="617"/>
      <c r="L1" s="617" t="s">
        <v>475</v>
      </c>
      <c r="M1" s="617"/>
      <c r="N1" s="617"/>
      <c r="O1" s="617" t="s">
        <v>476</v>
      </c>
      <c r="P1" s="617"/>
      <c r="Q1" s="617"/>
      <c r="R1" s="617"/>
      <c r="S1" s="617" t="s">
        <v>477</v>
      </c>
      <c r="T1" s="617"/>
      <c r="U1" s="617"/>
      <c r="V1" s="617"/>
      <c r="W1" s="617"/>
      <c r="X1" s="617"/>
      <c r="Y1" s="6" t="s">
        <v>244</v>
      </c>
      <c r="Z1" s="7" t="s">
        <v>478</v>
      </c>
      <c r="AA1" s="618" t="s">
        <v>479</v>
      </c>
      <c r="AB1" s="618"/>
      <c r="AC1" s="121" t="s">
        <v>480</v>
      </c>
      <c r="AD1" s="7" t="s">
        <v>481</v>
      </c>
      <c r="AE1" s="617" t="s">
        <v>482</v>
      </c>
      <c r="AF1" s="619"/>
      <c r="AG1" s="619"/>
    </row>
    <row r="2" spans="1:33" ht="26.25" customHeight="1">
      <c r="A2" s="37">
        <v>46146</v>
      </c>
      <c r="B2" s="38" t="s">
        <v>483</v>
      </c>
      <c r="C2" s="2" t="s">
        <v>484</v>
      </c>
      <c r="D2" s="10">
        <f>AVERAGE(N10,N15,N48,N56,N21,N63,N28,N36,N43,N69)</f>
        <v>146.77215005524175</v>
      </c>
      <c r="E2" s="11" t="s">
        <v>14</v>
      </c>
      <c r="F2" s="12">
        <f>F1/D1</f>
        <v>34.227231690339991</v>
      </c>
      <c r="G2" s="1" t="s">
        <v>485</v>
      </c>
      <c r="H2" s="136">
        <f>COUNT(H5:H69)</f>
        <v>10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SUM(Y10+Y15+Y21+Y28+Y36+Y43+Y48+Y56+Y63+Y69)</f>
        <v>0</v>
      </c>
      <c r="Z2" s="14">
        <f>SUM(Z10+Z15+Z21+Z28+Z36+Z43+Z48+Z56+Z63+Z69)</f>
        <v>0</v>
      </c>
      <c r="AA2" s="618"/>
      <c r="AB2" s="618"/>
      <c r="AC2" s="122">
        <v>55</v>
      </c>
      <c r="AD2" s="14">
        <f>SUM(AD10+AD15+AD21+AD28+AD36+AD43+AD48+AD56+AD63+AD69)</f>
        <v>0</v>
      </c>
      <c r="AE2" s="619"/>
      <c r="AF2" s="619"/>
      <c r="AG2" s="619"/>
    </row>
    <row r="3" spans="1:33" ht="40.5" customHeight="1">
      <c r="A3" s="575" t="s">
        <v>486</v>
      </c>
      <c r="B3" s="575" t="s">
        <v>487</v>
      </c>
      <c r="C3" s="575" t="s">
        <v>488</v>
      </c>
      <c r="D3" s="575"/>
      <c r="E3" s="615" t="s">
        <v>19</v>
      </c>
      <c r="F3" s="575" t="s">
        <v>489</v>
      </c>
      <c r="G3" s="615" t="s">
        <v>490</v>
      </c>
      <c r="H3" s="608" t="s">
        <v>491</v>
      </c>
      <c r="I3" s="606" t="s">
        <v>492</v>
      </c>
      <c r="J3" s="603" t="s">
        <v>493</v>
      </c>
      <c r="K3" s="613" t="s">
        <v>448</v>
      </c>
      <c r="L3" s="606" t="s">
        <v>492</v>
      </c>
      <c r="M3" s="603" t="s">
        <v>494</v>
      </c>
      <c r="N3" s="613" t="s">
        <v>495</v>
      </c>
      <c r="O3" s="606" t="s">
        <v>492</v>
      </c>
      <c r="P3" s="613" t="s">
        <v>448</v>
      </c>
      <c r="Q3" s="604" t="s">
        <v>496</v>
      </c>
      <c r="R3" s="582" t="s">
        <v>497</v>
      </c>
      <c r="S3" s="614" t="s">
        <v>28</v>
      </c>
      <c r="T3" s="614"/>
      <c r="U3" s="608" t="s">
        <v>29</v>
      </c>
      <c r="V3" s="608" t="s">
        <v>498</v>
      </c>
      <c r="W3" s="575" t="s">
        <v>499</v>
      </c>
      <c r="X3" s="575"/>
      <c r="Y3" s="609" t="s">
        <v>500</v>
      </c>
      <c r="Z3" s="572"/>
      <c r="AA3" s="610" t="s">
        <v>501</v>
      </c>
      <c r="AB3" s="611"/>
      <c r="AC3" s="609" t="s">
        <v>502</v>
      </c>
      <c r="AD3" s="572"/>
      <c r="AE3" s="603" t="s">
        <v>503</v>
      </c>
      <c r="AF3" s="604" t="s">
        <v>496</v>
      </c>
      <c r="AG3" s="582" t="s">
        <v>504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135" t="s">
        <v>36</v>
      </c>
      <c r="T4" s="135" t="s">
        <v>37</v>
      </c>
      <c r="U4" s="608"/>
      <c r="V4" s="608"/>
      <c r="W4" s="125" t="s">
        <v>505</v>
      </c>
      <c r="X4" s="125" t="s">
        <v>506</v>
      </c>
      <c r="Y4" s="127" t="s">
        <v>507</v>
      </c>
      <c r="Z4" s="127" t="s">
        <v>508</v>
      </c>
      <c r="AA4" s="612"/>
      <c r="AB4" s="611"/>
      <c r="AC4" s="127" t="s">
        <v>509</v>
      </c>
      <c r="AD4" s="127" t="s">
        <v>510</v>
      </c>
      <c r="AE4" s="603"/>
      <c r="AF4" s="604"/>
      <c r="AG4" s="582"/>
    </row>
    <row r="5" spans="1:33">
      <c r="A5" s="605" t="s">
        <v>511</v>
      </c>
      <c r="B5" s="39" t="s">
        <v>74</v>
      </c>
      <c r="C5" s="607" t="s">
        <v>75</v>
      </c>
      <c r="D5" s="607"/>
      <c r="E5" s="39">
        <v>50.67</v>
      </c>
      <c r="F5" s="135">
        <v>1504</v>
      </c>
      <c r="G5" s="125">
        <f t="shared" ref="G5:G9" si="0">E5*F5</f>
        <v>76207.680000000008</v>
      </c>
      <c r="H5" s="48" t="s">
        <v>126</v>
      </c>
      <c r="I5" s="133">
        <v>17</v>
      </c>
      <c r="J5" s="43">
        <v>2000</v>
      </c>
      <c r="K5" s="18">
        <f t="shared" ref="K5:K68" si="1">J5/I5</f>
        <v>117.64705882352941</v>
      </c>
      <c r="L5" s="133">
        <v>17</v>
      </c>
      <c r="M5" s="19">
        <f t="shared" ref="M5:M9" si="2">F5/V5*60</f>
        <v>1920.0000000000005</v>
      </c>
      <c r="N5" s="18">
        <f t="shared" ref="N5:N68" si="3">M5/L5</f>
        <v>112.94117647058826</v>
      </c>
      <c r="O5" s="20">
        <f t="shared" ref="O5:O68" si="4">L5-I5</f>
        <v>0</v>
      </c>
      <c r="P5" s="21">
        <f t="shared" ref="P5:P68" si="5">N5-K5</f>
        <v>-4.7058823529411455</v>
      </c>
      <c r="Q5" s="128">
        <f t="shared" ref="Q5:Q68" si="6">N5/K5</f>
        <v>0.9600000000000003</v>
      </c>
      <c r="R5" s="573">
        <f>Q10</f>
        <v>0.958101173020527</v>
      </c>
      <c r="S5" s="49">
        <v>0.70833333333333337</v>
      </c>
      <c r="T5" s="49">
        <v>0.74097222222222225</v>
      </c>
      <c r="U5" s="125"/>
      <c r="V5" s="134">
        <f t="shared" ref="V5:V9" si="7">(T5-S5)*24*60</f>
        <v>46.999999999999993</v>
      </c>
      <c r="W5" s="25"/>
      <c r="X5" s="26"/>
      <c r="Y5" s="26"/>
      <c r="Z5" s="26"/>
      <c r="AA5" s="575"/>
      <c r="AB5" s="575"/>
      <c r="AC5" s="50">
        <v>5</v>
      </c>
      <c r="AD5" s="27"/>
      <c r="AE5" s="20">
        <f t="shared" ref="AE5:AE55" si="8">M5-J5</f>
        <v>-79.999999999999545</v>
      </c>
      <c r="AF5" s="128">
        <f t="shared" ref="AF5:AF68" si="9">M5/J5</f>
        <v>0.96000000000000019</v>
      </c>
      <c r="AG5" s="573">
        <f>AF10</f>
        <v>0.95810117302052711</v>
      </c>
    </row>
    <row r="6" spans="1:33">
      <c r="A6" s="606" t="s">
        <v>512</v>
      </c>
      <c r="B6" s="39" t="s">
        <v>74</v>
      </c>
      <c r="C6" s="607" t="s">
        <v>76</v>
      </c>
      <c r="D6" s="607"/>
      <c r="E6" s="39">
        <v>54.09</v>
      </c>
      <c r="F6" s="135">
        <v>1270</v>
      </c>
      <c r="G6" s="125">
        <f t="shared" si="0"/>
        <v>68694.3</v>
      </c>
      <c r="H6" s="48" t="s">
        <v>126</v>
      </c>
      <c r="I6" s="133">
        <v>19</v>
      </c>
      <c r="J6" s="43">
        <v>2000</v>
      </c>
      <c r="K6" s="18">
        <f t="shared" si="1"/>
        <v>105.26315789473684</v>
      </c>
      <c r="L6" s="133">
        <v>19</v>
      </c>
      <c r="M6" s="19">
        <f t="shared" si="2"/>
        <v>1904.9999999999993</v>
      </c>
      <c r="N6" s="18">
        <f t="shared" si="3"/>
        <v>100.26315789473681</v>
      </c>
      <c r="O6" s="20">
        <f t="shared" si="4"/>
        <v>0</v>
      </c>
      <c r="P6" s="21">
        <f t="shared" si="5"/>
        <v>-5.0000000000000284</v>
      </c>
      <c r="Q6" s="128">
        <f t="shared" si="6"/>
        <v>0.95249999999999968</v>
      </c>
      <c r="R6" s="573"/>
      <c r="S6" s="49">
        <v>0.74444444444444446</v>
      </c>
      <c r="T6" s="49">
        <v>0.77222222222222225</v>
      </c>
      <c r="U6" s="125">
        <f t="shared" ref="U6:U9" si="10">IF(S6=TIME(17,0,0),"",(S6-T5)*24*60)</f>
        <v>4.9999999999999822</v>
      </c>
      <c r="V6" s="134">
        <f t="shared" si="7"/>
        <v>40.000000000000014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-95.000000000000682</v>
      </c>
      <c r="AF6" s="128">
        <f t="shared" si="9"/>
        <v>0.95249999999999968</v>
      </c>
      <c r="AG6" s="573"/>
    </row>
    <row r="7" spans="1:33">
      <c r="A7" s="606" t="s">
        <v>513</v>
      </c>
      <c r="B7" s="39" t="s">
        <v>74</v>
      </c>
      <c r="C7" s="598" t="s">
        <v>77</v>
      </c>
      <c r="D7" s="599"/>
      <c r="E7" s="39">
        <v>50.67</v>
      </c>
      <c r="F7" s="135">
        <v>800</v>
      </c>
      <c r="G7" s="125">
        <f t="shared" si="0"/>
        <v>40536</v>
      </c>
      <c r="H7" s="48">
        <v>2</v>
      </c>
      <c r="I7" s="133">
        <v>15</v>
      </c>
      <c r="J7" s="43">
        <v>2000</v>
      </c>
      <c r="K7" s="18">
        <f t="shared" si="1"/>
        <v>133.33333333333334</v>
      </c>
      <c r="L7" s="133">
        <v>15</v>
      </c>
      <c r="M7" s="19">
        <f t="shared" si="2"/>
        <v>1919.9999999999945</v>
      </c>
      <c r="N7" s="18">
        <f t="shared" si="3"/>
        <v>127.99999999999963</v>
      </c>
      <c r="O7" s="20">
        <f t="shared" si="4"/>
        <v>0</v>
      </c>
      <c r="P7" s="21">
        <f t="shared" si="5"/>
        <v>-5.3333333333337123</v>
      </c>
      <c r="Q7" s="128">
        <f t="shared" si="6"/>
        <v>0.95999999999999719</v>
      </c>
      <c r="R7" s="573"/>
      <c r="S7" s="49">
        <v>0.77777777777777779</v>
      </c>
      <c r="T7" s="49">
        <v>0.79513888888888895</v>
      </c>
      <c r="U7" s="125">
        <f t="shared" si="10"/>
        <v>7.9999999999999716</v>
      </c>
      <c r="V7" s="134">
        <f t="shared" si="7"/>
        <v>25.000000000000071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-80.000000000005457</v>
      </c>
      <c r="AF7" s="128">
        <f t="shared" si="9"/>
        <v>0.9599999999999973</v>
      </c>
      <c r="AG7" s="573"/>
    </row>
    <row r="8" spans="1:33">
      <c r="A8" s="606" t="s">
        <v>513</v>
      </c>
      <c r="B8" s="39" t="s">
        <v>74</v>
      </c>
      <c r="C8" s="598" t="s">
        <v>78</v>
      </c>
      <c r="D8" s="599"/>
      <c r="E8" s="39">
        <v>52.86</v>
      </c>
      <c r="F8" s="135">
        <v>1978</v>
      </c>
      <c r="G8" s="125">
        <f t="shared" si="0"/>
        <v>104557.08</v>
      </c>
      <c r="H8" s="48" t="s">
        <v>126</v>
      </c>
      <c r="I8" s="133">
        <v>16</v>
      </c>
      <c r="J8" s="43">
        <v>2000</v>
      </c>
      <c r="K8" s="18">
        <f t="shared" si="1"/>
        <v>125</v>
      </c>
      <c r="L8" s="133">
        <v>16</v>
      </c>
      <c r="M8" s="19">
        <f t="shared" si="2"/>
        <v>1914.1935483870984</v>
      </c>
      <c r="N8" s="18">
        <f t="shared" si="3"/>
        <v>119.63709677419365</v>
      </c>
      <c r="O8" s="20">
        <f t="shared" si="4"/>
        <v>0</v>
      </c>
      <c r="P8" s="21">
        <f t="shared" si="5"/>
        <v>-5.3629032258063489</v>
      </c>
      <c r="Q8" s="128">
        <f t="shared" si="6"/>
        <v>0.95709677419354922</v>
      </c>
      <c r="R8" s="573"/>
      <c r="S8" s="49">
        <v>0.79861111111111116</v>
      </c>
      <c r="T8" s="49">
        <v>0.84166666666666667</v>
      </c>
      <c r="U8" s="125">
        <f t="shared" si="10"/>
        <v>4.9999999999999822</v>
      </c>
      <c r="V8" s="134">
        <f t="shared" si="7"/>
        <v>61.999999999999943</v>
      </c>
      <c r="W8" s="25">
        <f>T8</f>
        <v>0.84166666666666667</v>
      </c>
      <c r="X8" s="25">
        <f>S9</f>
        <v>0.88194444444444442</v>
      </c>
      <c r="Y8" s="31"/>
      <c r="Z8" s="31"/>
      <c r="AA8" s="568"/>
      <c r="AB8" s="569"/>
      <c r="AC8" s="50"/>
      <c r="AD8" s="29"/>
      <c r="AE8" s="20">
        <f t="shared" si="8"/>
        <v>-85.806451612901583</v>
      </c>
      <c r="AF8" s="128">
        <f t="shared" si="9"/>
        <v>0.95709677419354922</v>
      </c>
      <c r="AG8" s="573"/>
    </row>
    <row r="9" spans="1:33">
      <c r="A9" s="606" t="s">
        <v>511</v>
      </c>
      <c r="B9" s="39" t="s">
        <v>74</v>
      </c>
      <c r="C9" s="598" t="s">
        <v>77</v>
      </c>
      <c r="D9" s="599"/>
      <c r="E9" s="39">
        <v>50.67</v>
      </c>
      <c r="F9" s="135">
        <v>1057</v>
      </c>
      <c r="G9" s="125">
        <f t="shared" si="0"/>
        <v>53558.19</v>
      </c>
      <c r="H9" s="48" t="s">
        <v>126</v>
      </c>
      <c r="I9" s="133">
        <v>15</v>
      </c>
      <c r="J9" s="43">
        <v>2000</v>
      </c>
      <c r="K9" s="18">
        <f t="shared" si="1"/>
        <v>133.33333333333334</v>
      </c>
      <c r="L9" s="133">
        <v>15</v>
      </c>
      <c r="M9" s="19">
        <f t="shared" si="2"/>
        <v>1921.8181818181793</v>
      </c>
      <c r="N9" s="18">
        <f t="shared" si="3"/>
        <v>128.12121212121195</v>
      </c>
      <c r="O9" s="20">
        <f t="shared" si="4"/>
        <v>0</v>
      </c>
      <c r="P9" s="21">
        <f t="shared" si="5"/>
        <v>-5.2121212121213887</v>
      </c>
      <c r="Q9" s="128">
        <f t="shared" si="6"/>
        <v>0.9609090909090896</v>
      </c>
      <c r="R9" s="573"/>
      <c r="S9" s="49">
        <v>0.88194444444444442</v>
      </c>
      <c r="T9" s="49">
        <v>0.90486111111111112</v>
      </c>
      <c r="U9" s="125">
        <f t="shared" si="10"/>
        <v>57.999999999999957</v>
      </c>
      <c r="V9" s="134">
        <f t="shared" si="7"/>
        <v>33.000000000000043</v>
      </c>
      <c r="W9" s="25"/>
      <c r="X9" s="25"/>
      <c r="Y9" s="28"/>
      <c r="Z9" s="28"/>
      <c r="AA9" s="568"/>
      <c r="AB9" s="569"/>
      <c r="AC9" s="50"/>
      <c r="AD9" s="29"/>
      <c r="AE9" s="20">
        <f t="shared" si="8"/>
        <v>-78.181818181820745</v>
      </c>
      <c r="AF9" s="128">
        <f t="shared" si="9"/>
        <v>0.9609090909090896</v>
      </c>
      <c r="AG9" s="573"/>
    </row>
    <row r="10" spans="1:33">
      <c r="A10" s="606" t="s">
        <v>512</v>
      </c>
      <c r="B10" s="39" t="s">
        <v>278</v>
      </c>
      <c r="C10" s="576"/>
      <c r="D10" s="576"/>
      <c r="E10" s="132"/>
      <c r="F10" s="42"/>
      <c r="G10" s="18"/>
      <c r="H10" s="135"/>
      <c r="I10" s="32">
        <v>16.399999999999999</v>
      </c>
      <c r="J10" s="43">
        <v>2000</v>
      </c>
      <c r="K10" s="18">
        <f t="shared" si="1"/>
        <v>121.95121951219514</v>
      </c>
      <c r="L10" s="32">
        <v>16.399999999999999</v>
      </c>
      <c r="M10" s="19">
        <f>AVERAGE(M5:M9)</f>
        <v>1916.2023460410542</v>
      </c>
      <c r="N10" s="18">
        <f t="shared" si="3"/>
        <v>116.84160646591795</v>
      </c>
      <c r="O10" s="20">
        <f t="shared" si="4"/>
        <v>0</v>
      </c>
      <c r="P10" s="21">
        <f t="shared" si="5"/>
        <v>-5.1096130462771896</v>
      </c>
      <c r="Q10" s="128">
        <f t="shared" si="6"/>
        <v>0.958101173020527</v>
      </c>
      <c r="R10" s="573"/>
      <c r="S10" s="49"/>
      <c r="T10" s="49"/>
      <c r="U10" s="125"/>
      <c r="V10" s="134"/>
      <c r="W10" s="18"/>
      <c r="X10" s="18"/>
      <c r="Y10" s="33">
        <f>SUM(Y5:Y9)</f>
        <v>0</v>
      </c>
      <c r="Z10" s="33">
        <f>SUM(Z5:Z9)</f>
        <v>0</v>
      </c>
      <c r="AA10" s="572"/>
      <c r="AB10" s="572"/>
      <c r="AC10" s="33">
        <v>5</v>
      </c>
      <c r="AD10" s="33">
        <f>SUM(AD5:AD9)</f>
        <v>0</v>
      </c>
      <c r="AE10" s="20">
        <f t="shared" si="8"/>
        <v>-83.79765395894583</v>
      </c>
      <c r="AF10" s="128">
        <f t="shared" si="9"/>
        <v>0.95810117302052711</v>
      </c>
      <c r="AG10" s="573"/>
    </row>
    <row r="11" spans="1:33" ht="15.75" customHeight="1">
      <c r="A11" s="602" t="s">
        <v>514</v>
      </c>
      <c r="B11" s="39" t="s">
        <v>79</v>
      </c>
      <c r="C11" s="598" t="s">
        <v>80</v>
      </c>
      <c r="D11" s="599"/>
      <c r="E11" s="39">
        <v>39.619999999999997</v>
      </c>
      <c r="F11" s="135">
        <v>3200</v>
      </c>
      <c r="G11" s="125">
        <f t="shared" ref="G11:G14" si="11">E11*F11</f>
        <v>126783.99999999999</v>
      </c>
      <c r="H11" s="48">
        <v>2</v>
      </c>
      <c r="I11" s="133">
        <v>19</v>
      </c>
      <c r="J11" s="43">
        <v>1500</v>
      </c>
      <c r="K11" s="18">
        <f t="shared" si="1"/>
        <v>78.94736842105263</v>
      </c>
      <c r="L11" s="133">
        <v>19</v>
      </c>
      <c r="M11" s="19">
        <f t="shared" ref="M11:M14" si="12">F11/V11*60</f>
        <v>1432.8358208955219</v>
      </c>
      <c r="N11" s="18">
        <f t="shared" si="3"/>
        <v>75.4124116260801</v>
      </c>
      <c r="O11" s="20">
        <f t="shared" si="4"/>
        <v>0</v>
      </c>
      <c r="P11" s="21">
        <f t="shared" si="5"/>
        <v>-3.5349567949725298</v>
      </c>
      <c r="Q11" s="128">
        <f t="shared" si="6"/>
        <v>0.95522388059701457</v>
      </c>
      <c r="R11" s="573">
        <f>Q15</f>
        <v>0.95680925194300714</v>
      </c>
      <c r="S11" s="49">
        <v>0.20833333333333334</v>
      </c>
      <c r="T11" s="49">
        <v>0.30138888888888893</v>
      </c>
      <c r="U11" s="125"/>
      <c r="V11" s="134">
        <f t="shared" ref="V11:V14" si="13">(T11-S11)*24*60</f>
        <v>134.00000000000006</v>
      </c>
      <c r="W11" s="25"/>
      <c r="X11" s="25"/>
      <c r="Y11" s="25"/>
      <c r="Z11" s="25"/>
      <c r="AA11" s="575"/>
      <c r="AB11" s="575"/>
      <c r="AC11" s="50">
        <v>4</v>
      </c>
      <c r="AD11" s="27"/>
      <c r="AE11" s="20">
        <f t="shared" si="8"/>
        <v>-67.16417910447808</v>
      </c>
      <c r="AF11" s="128">
        <f t="shared" si="9"/>
        <v>0.95522388059701457</v>
      </c>
      <c r="AG11" s="573">
        <f>AF15</f>
        <v>0.95680925194300714</v>
      </c>
    </row>
    <row r="12" spans="1:33" ht="15.75" customHeight="1">
      <c r="A12" s="602" t="s">
        <v>514</v>
      </c>
      <c r="B12" s="39" t="s">
        <v>79</v>
      </c>
      <c r="C12" s="598" t="s">
        <v>81</v>
      </c>
      <c r="D12" s="599"/>
      <c r="E12" s="39">
        <v>39.799999999999997</v>
      </c>
      <c r="F12" s="135">
        <v>5500</v>
      </c>
      <c r="G12" s="125">
        <f t="shared" si="11"/>
        <v>218899.99999999997</v>
      </c>
      <c r="H12" s="48">
        <v>2</v>
      </c>
      <c r="I12" s="133">
        <v>17</v>
      </c>
      <c r="J12" s="43">
        <v>1500</v>
      </c>
      <c r="K12" s="18">
        <f t="shared" si="1"/>
        <v>88.235294117647058</v>
      </c>
      <c r="L12" s="133">
        <v>17</v>
      </c>
      <c r="M12" s="19">
        <f t="shared" si="12"/>
        <v>1434.7826086956522</v>
      </c>
      <c r="N12" s="18">
        <f t="shared" si="3"/>
        <v>84.398976982097196</v>
      </c>
      <c r="O12" s="20">
        <f t="shared" si="4"/>
        <v>0</v>
      </c>
      <c r="P12" s="21">
        <f t="shared" si="5"/>
        <v>-3.8363171355498622</v>
      </c>
      <c r="Q12" s="128">
        <f t="shared" si="6"/>
        <v>0.95652173913043492</v>
      </c>
      <c r="R12" s="573"/>
      <c r="S12" s="49">
        <v>0.30694444444444446</v>
      </c>
      <c r="T12" s="49">
        <v>0.46666666666666667</v>
      </c>
      <c r="U12" s="125">
        <f t="shared" ref="U12:U14" si="14">IF(S12=TIME(17,0,0),"",(S12-T11)*24*60)</f>
        <v>7.9999999999999716</v>
      </c>
      <c r="V12" s="134">
        <f t="shared" si="13"/>
        <v>229.99999999999997</v>
      </c>
      <c r="W12" s="25">
        <f>T12</f>
        <v>0.46666666666666667</v>
      </c>
      <c r="X12" s="25">
        <f>S13</f>
        <v>0.50763888888888886</v>
      </c>
      <c r="Y12" s="25"/>
      <c r="Z12" s="25"/>
      <c r="AA12" s="575"/>
      <c r="AB12" s="575"/>
      <c r="AC12" s="50"/>
      <c r="AD12" s="27"/>
      <c r="AE12" s="20">
        <f t="shared" si="8"/>
        <v>-65.217391304347757</v>
      </c>
      <c r="AF12" s="128">
        <f t="shared" si="9"/>
        <v>0.95652173913043481</v>
      </c>
      <c r="AG12" s="573"/>
    </row>
    <row r="13" spans="1:33" ht="15.75" customHeight="1">
      <c r="A13" s="602" t="s">
        <v>514</v>
      </c>
      <c r="B13" s="39" t="s">
        <v>79</v>
      </c>
      <c r="C13" s="598" t="s">
        <v>81</v>
      </c>
      <c r="D13" s="599"/>
      <c r="E13" s="39">
        <v>39.799999999999997</v>
      </c>
      <c r="F13" s="135">
        <v>2251</v>
      </c>
      <c r="G13" s="125">
        <f t="shared" si="11"/>
        <v>89589.799999999988</v>
      </c>
      <c r="H13" s="48" t="s">
        <v>126</v>
      </c>
      <c r="I13" s="133">
        <v>17</v>
      </c>
      <c r="J13" s="43">
        <v>1500</v>
      </c>
      <c r="K13" s="18">
        <f t="shared" si="1"/>
        <v>88.235294117647058</v>
      </c>
      <c r="L13" s="133">
        <v>17</v>
      </c>
      <c r="M13" s="19">
        <f t="shared" si="12"/>
        <v>1436.8085106382982</v>
      </c>
      <c r="N13" s="18">
        <f t="shared" si="3"/>
        <v>84.518147684605779</v>
      </c>
      <c r="O13" s="20">
        <f t="shared" si="4"/>
        <v>0</v>
      </c>
      <c r="P13" s="21">
        <f t="shared" si="5"/>
        <v>-3.7171464330412789</v>
      </c>
      <c r="Q13" s="128">
        <f t="shared" si="6"/>
        <v>0.95787234042553215</v>
      </c>
      <c r="R13" s="573"/>
      <c r="S13" s="49">
        <v>0.50763888888888886</v>
      </c>
      <c r="T13" s="49">
        <v>0.57291666666666663</v>
      </c>
      <c r="U13" s="125">
        <f t="shared" si="14"/>
        <v>58.99999999999995</v>
      </c>
      <c r="V13" s="134">
        <f t="shared" si="13"/>
        <v>93.999999999999986</v>
      </c>
      <c r="W13" s="25"/>
      <c r="X13" s="25"/>
      <c r="Y13" s="25"/>
      <c r="Z13" s="25"/>
      <c r="AA13" s="575"/>
      <c r="AB13" s="575"/>
      <c r="AC13" s="50"/>
      <c r="AD13" s="27"/>
      <c r="AE13" s="20">
        <f t="shared" si="8"/>
        <v>-63.19148936170177</v>
      </c>
      <c r="AF13" s="128">
        <f t="shared" si="9"/>
        <v>0.95787234042553215</v>
      </c>
      <c r="AG13" s="573"/>
    </row>
    <row r="14" spans="1:33" ht="15.75" customHeight="1">
      <c r="A14" s="602" t="s">
        <v>514</v>
      </c>
      <c r="B14" s="39" t="s">
        <v>79</v>
      </c>
      <c r="C14" s="598" t="s">
        <v>80</v>
      </c>
      <c r="D14" s="599"/>
      <c r="E14" s="39">
        <v>39.619999999999997</v>
      </c>
      <c r="F14" s="135">
        <v>2011</v>
      </c>
      <c r="G14" s="125">
        <f t="shared" si="11"/>
        <v>79675.819999999992</v>
      </c>
      <c r="H14" s="48" t="s">
        <v>126</v>
      </c>
      <c r="I14" s="133">
        <v>19</v>
      </c>
      <c r="J14" s="43">
        <v>1500</v>
      </c>
      <c r="K14" s="18">
        <f t="shared" si="1"/>
        <v>78.94736842105263</v>
      </c>
      <c r="L14" s="133">
        <v>19</v>
      </c>
      <c r="M14" s="19">
        <f t="shared" si="12"/>
        <v>1436.4285714285709</v>
      </c>
      <c r="N14" s="18">
        <f t="shared" si="3"/>
        <v>75.601503759398469</v>
      </c>
      <c r="O14" s="20">
        <f t="shared" si="4"/>
        <v>0</v>
      </c>
      <c r="P14" s="21">
        <f t="shared" si="5"/>
        <v>-3.3458646616541614</v>
      </c>
      <c r="Q14" s="128">
        <f t="shared" si="6"/>
        <v>0.95761904761904726</v>
      </c>
      <c r="R14" s="573"/>
      <c r="S14" s="49">
        <v>0.57847222222222217</v>
      </c>
      <c r="T14" s="49">
        <v>0.63680555555555551</v>
      </c>
      <c r="U14" s="125">
        <f t="shared" si="14"/>
        <v>7.9999999999999716</v>
      </c>
      <c r="V14" s="134">
        <f t="shared" si="13"/>
        <v>84.000000000000028</v>
      </c>
      <c r="W14" s="25"/>
      <c r="X14" s="25"/>
      <c r="Y14" s="25"/>
      <c r="Z14" s="25"/>
      <c r="AA14" s="568"/>
      <c r="AB14" s="569"/>
      <c r="AC14" s="50"/>
      <c r="AD14" s="27"/>
      <c r="AE14" s="20">
        <f t="shared" si="8"/>
        <v>-63.571428571429124</v>
      </c>
      <c r="AF14" s="128">
        <f t="shared" si="9"/>
        <v>0.95761904761904726</v>
      </c>
      <c r="AG14" s="573"/>
    </row>
    <row r="15" spans="1:33" ht="16.5" customHeight="1">
      <c r="A15" s="602" t="s">
        <v>514</v>
      </c>
      <c r="B15" s="39" t="s">
        <v>515</v>
      </c>
      <c r="C15" s="576"/>
      <c r="D15" s="576"/>
      <c r="E15" s="132"/>
      <c r="F15" s="43"/>
      <c r="G15" s="19"/>
      <c r="H15" s="135"/>
      <c r="I15" s="32">
        <v>18</v>
      </c>
      <c r="J15" s="43">
        <v>1500</v>
      </c>
      <c r="K15" s="18">
        <f t="shared" si="1"/>
        <v>83.333333333333329</v>
      </c>
      <c r="L15" s="32">
        <v>18</v>
      </c>
      <c r="M15" s="19">
        <f>AVERAGE(M11:M14)</f>
        <v>1435.2138779145107</v>
      </c>
      <c r="N15" s="18">
        <f t="shared" si="3"/>
        <v>79.734104328583925</v>
      </c>
      <c r="O15" s="20">
        <f t="shared" si="4"/>
        <v>0</v>
      </c>
      <c r="P15" s="21">
        <f t="shared" si="5"/>
        <v>-3.5992290047494038</v>
      </c>
      <c r="Q15" s="128">
        <f t="shared" si="6"/>
        <v>0.95680925194300714</v>
      </c>
      <c r="R15" s="573"/>
      <c r="S15" s="49"/>
      <c r="T15" s="49"/>
      <c r="U15" s="18"/>
      <c r="V15" s="134"/>
      <c r="W15" s="18"/>
      <c r="X15" s="18"/>
      <c r="Y15" s="33">
        <f>SUM(Y11:Y14)</f>
        <v>0</v>
      </c>
      <c r="Z15" s="33">
        <f>SUM(Z11:Z14)</f>
        <v>0</v>
      </c>
      <c r="AA15" s="572"/>
      <c r="AB15" s="572"/>
      <c r="AC15" s="33">
        <v>4</v>
      </c>
      <c r="AD15" s="33">
        <f>SUM(AD11:AD14)</f>
        <v>0</v>
      </c>
      <c r="AE15" s="20">
        <f t="shared" si="8"/>
        <v>-64.786122085489296</v>
      </c>
      <c r="AF15" s="128">
        <f t="shared" si="9"/>
        <v>0.95680925194300714</v>
      </c>
      <c r="AG15" s="573"/>
    </row>
    <row r="16" spans="1:33" ht="16.5" customHeight="1">
      <c r="A16" s="600" t="s">
        <v>516</v>
      </c>
      <c r="B16" s="135" t="s">
        <v>82</v>
      </c>
      <c r="C16" s="594" t="s">
        <v>83</v>
      </c>
      <c r="D16" s="594"/>
      <c r="E16" s="39">
        <v>41</v>
      </c>
      <c r="F16" s="135">
        <v>2100</v>
      </c>
      <c r="G16" s="125">
        <f t="shared" ref="G16:G20" si="15">E16*F16</f>
        <v>86100</v>
      </c>
      <c r="H16" s="48" t="s">
        <v>126</v>
      </c>
      <c r="I16" s="133">
        <v>26</v>
      </c>
      <c r="J16" s="43">
        <v>1500</v>
      </c>
      <c r="K16" s="18">
        <f t="shared" si="1"/>
        <v>57.692307692307693</v>
      </c>
      <c r="L16" s="133">
        <v>26</v>
      </c>
      <c r="M16" s="19">
        <f t="shared" ref="M16:M20" si="16">F16/V16*60</f>
        <v>1431.8181818181822</v>
      </c>
      <c r="N16" s="18">
        <f t="shared" si="3"/>
        <v>55.069930069930088</v>
      </c>
      <c r="O16" s="20">
        <f t="shared" si="4"/>
        <v>0</v>
      </c>
      <c r="P16" s="21">
        <f t="shared" si="5"/>
        <v>-2.6223776223776056</v>
      </c>
      <c r="Q16" s="128">
        <f t="shared" si="6"/>
        <v>0.95454545454545481</v>
      </c>
      <c r="R16" s="573">
        <f>Q21</f>
        <v>0.96084592795119139</v>
      </c>
      <c r="S16" s="49">
        <v>0.20833333333333334</v>
      </c>
      <c r="T16" s="49">
        <v>0.26944444444444443</v>
      </c>
      <c r="U16" s="125"/>
      <c r="V16" s="134">
        <f t="shared" ref="V16:V20" si="17">(T16-S16)*24*60</f>
        <v>87.999999999999972</v>
      </c>
      <c r="W16" s="30"/>
      <c r="X16" s="30"/>
      <c r="Y16" s="30"/>
      <c r="Z16" s="30"/>
      <c r="AA16" s="575"/>
      <c r="AB16" s="575"/>
      <c r="AC16" s="50">
        <v>5</v>
      </c>
      <c r="AD16" s="27"/>
      <c r="AE16" s="20">
        <f t="shared" si="8"/>
        <v>-68.181818181817789</v>
      </c>
      <c r="AF16" s="128">
        <f t="shared" si="9"/>
        <v>0.95454545454545481</v>
      </c>
      <c r="AG16" s="573">
        <f>AF21</f>
        <v>0.96084592795119128</v>
      </c>
    </row>
    <row r="17" spans="1:33" ht="16.5" customHeight="1">
      <c r="A17" s="601" t="s">
        <v>516</v>
      </c>
      <c r="B17" s="135" t="s">
        <v>74</v>
      </c>
      <c r="C17" s="594" t="s">
        <v>85</v>
      </c>
      <c r="D17" s="594"/>
      <c r="E17" s="39">
        <v>53.68</v>
      </c>
      <c r="F17" s="135">
        <v>1346</v>
      </c>
      <c r="G17" s="125">
        <f t="shared" si="15"/>
        <v>72253.279999999999</v>
      </c>
      <c r="H17" s="48" t="s">
        <v>126</v>
      </c>
      <c r="I17" s="133">
        <v>16</v>
      </c>
      <c r="J17" s="43">
        <v>1500</v>
      </c>
      <c r="K17" s="18">
        <f t="shared" si="1"/>
        <v>93.75</v>
      </c>
      <c r="L17" s="133">
        <v>16</v>
      </c>
      <c r="M17" s="19">
        <f t="shared" si="16"/>
        <v>1442.1428571428582</v>
      </c>
      <c r="N17" s="18">
        <f t="shared" si="3"/>
        <v>90.13392857142864</v>
      </c>
      <c r="O17" s="20">
        <f t="shared" si="4"/>
        <v>0</v>
      </c>
      <c r="P17" s="21">
        <f t="shared" si="5"/>
        <v>-3.6160714285713595</v>
      </c>
      <c r="Q17" s="128">
        <f t="shared" si="6"/>
        <v>0.96142857142857219</v>
      </c>
      <c r="R17" s="573"/>
      <c r="S17" s="49">
        <v>0.70833333333333337</v>
      </c>
      <c r="T17" s="49">
        <v>0.74722222222222223</v>
      </c>
      <c r="U17" s="125" t="str">
        <f t="shared" ref="U17:U20" si="18">IF(S17=TIME(17,0,0),"",(S17-T16)*24*60)</f>
        <v/>
      </c>
      <c r="V17" s="134">
        <f t="shared" si="17"/>
        <v>55.999999999999957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-57.857142857141753</v>
      </c>
      <c r="AF17" s="128">
        <f t="shared" si="9"/>
        <v>0.96142857142857219</v>
      </c>
      <c r="AG17" s="573"/>
    </row>
    <row r="18" spans="1:33" ht="16.5" customHeight="1">
      <c r="A18" s="601" t="s">
        <v>516</v>
      </c>
      <c r="B18" s="135" t="s">
        <v>74</v>
      </c>
      <c r="C18" s="594" t="s">
        <v>86</v>
      </c>
      <c r="D18" s="594"/>
      <c r="E18" s="39">
        <v>50.92</v>
      </c>
      <c r="F18" s="135">
        <v>1400</v>
      </c>
      <c r="G18" s="125">
        <f t="shared" si="15"/>
        <v>71288</v>
      </c>
      <c r="H18" s="48">
        <v>2</v>
      </c>
      <c r="I18" s="133">
        <v>15</v>
      </c>
      <c r="J18" s="43">
        <v>2000</v>
      </c>
      <c r="K18" s="18">
        <f t="shared" si="1"/>
        <v>133.33333333333334</v>
      </c>
      <c r="L18" s="133">
        <v>15</v>
      </c>
      <c r="M18" s="19">
        <f t="shared" si="16"/>
        <v>1909.090909090909</v>
      </c>
      <c r="N18" s="18">
        <f t="shared" si="3"/>
        <v>127.27272727272727</v>
      </c>
      <c r="O18" s="20">
        <f t="shared" si="4"/>
        <v>0</v>
      </c>
      <c r="P18" s="21">
        <f t="shared" si="5"/>
        <v>-6.0606060606060765</v>
      </c>
      <c r="Q18" s="128">
        <f t="shared" si="6"/>
        <v>0.95454545454545447</v>
      </c>
      <c r="R18" s="573"/>
      <c r="S18" s="49">
        <v>0.75069444444444444</v>
      </c>
      <c r="T18" s="49">
        <v>0.78125</v>
      </c>
      <c r="U18" s="125">
        <f t="shared" si="18"/>
        <v>4.9999999999999822</v>
      </c>
      <c r="V18" s="134">
        <f t="shared" si="17"/>
        <v>44</v>
      </c>
      <c r="W18" s="25"/>
      <c r="X18" s="25"/>
      <c r="Y18" s="25"/>
      <c r="Z18" s="25"/>
      <c r="AA18" s="575"/>
      <c r="AB18" s="575"/>
      <c r="AC18" s="50"/>
      <c r="AD18" s="27"/>
      <c r="AE18" s="20">
        <f t="shared" si="8"/>
        <v>-90.909090909090992</v>
      </c>
      <c r="AF18" s="128">
        <f t="shared" si="9"/>
        <v>0.95454545454545447</v>
      </c>
      <c r="AG18" s="573"/>
    </row>
    <row r="19" spans="1:33" ht="16.5" customHeight="1">
      <c r="A19" s="601" t="s">
        <v>516</v>
      </c>
      <c r="B19" s="135" t="s">
        <v>74</v>
      </c>
      <c r="C19" s="594" t="s">
        <v>87</v>
      </c>
      <c r="D19" s="594"/>
      <c r="E19" s="39">
        <v>57.3</v>
      </c>
      <c r="F19" s="135">
        <v>1841</v>
      </c>
      <c r="G19" s="125">
        <f t="shared" si="15"/>
        <v>105489.29999999999</v>
      </c>
      <c r="H19" s="48" t="s">
        <v>126</v>
      </c>
      <c r="I19" s="133">
        <v>13</v>
      </c>
      <c r="J19" s="43">
        <v>2000</v>
      </c>
      <c r="K19" s="18">
        <f t="shared" si="1"/>
        <v>153.84615384615384</v>
      </c>
      <c r="L19" s="133">
        <v>13</v>
      </c>
      <c r="M19" s="19">
        <f t="shared" si="16"/>
        <v>1937.8947368421066</v>
      </c>
      <c r="N19" s="18">
        <f t="shared" si="3"/>
        <v>149.06882591093128</v>
      </c>
      <c r="O19" s="20">
        <f t="shared" si="4"/>
        <v>0</v>
      </c>
      <c r="P19" s="21">
        <f t="shared" si="5"/>
        <v>-4.7773279352225586</v>
      </c>
      <c r="Q19" s="128">
        <f t="shared" si="6"/>
        <v>0.96894736842105333</v>
      </c>
      <c r="R19" s="573"/>
      <c r="S19" s="49">
        <v>0.78472222222222221</v>
      </c>
      <c r="T19" s="49">
        <v>0.82430555555555551</v>
      </c>
      <c r="U19" s="125">
        <f t="shared" si="18"/>
        <v>4.9999999999999822</v>
      </c>
      <c r="V19" s="134">
        <f t="shared" si="17"/>
        <v>56.999999999999957</v>
      </c>
      <c r="W19" s="25">
        <f>T19</f>
        <v>0.82430555555555551</v>
      </c>
      <c r="X19" s="25">
        <f>S20</f>
        <v>0.8652777777777777</v>
      </c>
      <c r="Y19" s="25"/>
      <c r="Z19" s="25"/>
      <c r="AA19" s="575"/>
      <c r="AB19" s="575"/>
      <c r="AC19" s="50"/>
      <c r="AD19" s="27"/>
      <c r="AE19" s="20">
        <f t="shared" si="8"/>
        <v>-62.105263157893432</v>
      </c>
      <c r="AF19" s="128">
        <f t="shared" si="9"/>
        <v>0.96894736842105333</v>
      </c>
      <c r="AG19" s="573"/>
    </row>
    <row r="20" spans="1:33" ht="16.5" customHeight="1">
      <c r="A20" s="601" t="s">
        <v>516</v>
      </c>
      <c r="B20" s="135" t="s">
        <v>74</v>
      </c>
      <c r="C20" s="594" t="s">
        <v>86</v>
      </c>
      <c r="D20" s="594"/>
      <c r="E20" s="39">
        <v>50.92</v>
      </c>
      <c r="F20" s="135">
        <v>1156</v>
      </c>
      <c r="G20" s="125">
        <f t="shared" si="15"/>
        <v>58863.520000000004</v>
      </c>
      <c r="H20" s="48" t="s">
        <v>126</v>
      </c>
      <c r="I20" s="133">
        <v>15</v>
      </c>
      <c r="J20" s="43">
        <v>2000</v>
      </c>
      <c r="K20" s="18">
        <f t="shared" si="1"/>
        <v>133.33333333333334</v>
      </c>
      <c r="L20" s="133">
        <v>15</v>
      </c>
      <c r="M20" s="19">
        <f t="shared" si="16"/>
        <v>1926.6666666666652</v>
      </c>
      <c r="N20" s="18">
        <f t="shared" si="3"/>
        <v>128.44444444444434</v>
      </c>
      <c r="O20" s="20">
        <f t="shared" si="4"/>
        <v>0</v>
      </c>
      <c r="P20" s="21">
        <f t="shared" si="5"/>
        <v>-4.8888888888889994</v>
      </c>
      <c r="Q20" s="128">
        <f t="shared" si="6"/>
        <v>0.96333333333333249</v>
      </c>
      <c r="R20" s="573"/>
      <c r="S20" s="49">
        <v>0.8652777777777777</v>
      </c>
      <c r="T20" s="49">
        <v>0.89027777777777772</v>
      </c>
      <c r="U20" s="125">
        <f t="shared" si="18"/>
        <v>58.99999999999995</v>
      </c>
      <c r="V20" s="134">
        <f t="shared" si="17"/>
        <v>36.000000000000028</v>
      </c>
      <c r="W20" s="25"/>
      <c r="X20" s="25"/>
      <c r="Y20" s="25"/>
      <c r="Z20" s="25"/>
      <c r="AA20" s="575"/>
      <c r="AB20" s="575"/>
      <c r="AC20" s="50"/>
      <c r="AD20" s="27"/>
      <c r="AE20" s="20">
        <f t="shared" si="8"/>
        <v>-73.333333333334849</v>
      </c>
      <c r="AF20" s="128">
        <f t="shared" si="9"/>
        <v>0.9633333333333326</v>
      </c>
      <c r="AG20" s="573"/>
    </row>
    <row r="21" spans="1:33" ht="16.5" customHeight="1">
      <c r="A21" s="601" t="s">
        <v>516</v>
      </c>
      <c r="B21" s="39" t="s">
        <v>515</v>
      </c>
      <c r="C21" s="576"/>
      <c r="D21" s="576"/>
      <c r="E21" s="132"/>
      <c r="F21" s="42"/>
      <c r="G21" s="18"/>
      <c r="H21" s="135"/>
      <c r="I21" s="32">
        <v>17</v>
      </c>
      <c r="J21" s="43">
        <v>1800</v>
      </c>
      <c r="K21" s="18">
        <f t="shared" si="1"/>
        <v>105.88235294117646</v>
      </c>
      <c r="L21" s="32">
        <v>17</v>
      </c>
      <c r="M21" s="19">
        <f>AVERAGE(M16:M20)</f>
        <v>1729.5226703121443</v>
      </c>
      <c r="N21" s="18">
        <f t="shared" si="3"/>
        <v>101.73662766542026</v>
      </c>
      <c r="O21" s="20">
        <f t="shared" si="4"/>
        <v>0</v>
      </c>
      <c r="P21" s="21">
        <f t="shared" si="5"/>
        <v>-4.145725275756206</v>
      </c>
      <c r="Q21" s="128">
        <f t="shared" si="6"/>
        <v>0.96084592795119139</v>
      </c>
      <c r="R21" s="573"/>
      <c r="S21" s="49"/>
      <c r="T21" s="49"/>
      <c r="U21" s="125"/>
      <c r="V21" s="134"/>
      <c r="W21" s="18"/>
      <c r="X21" s="18"/>
      <c r="Y21" s="33">
        <f>SUM(Y16:Y20)</f>
        <v>0</v>
      </c>
      <c r="Z21" s="33">
        <f>SUM(Z16:Z20)</f>
        <v>0</v>
      </c>
      <c r="AA21" s="572"/>
      <c r="AB21" s="572"/>
      <c r="AC21" s="33">
        <v>5</v>
      </c>
      <c r="AD21" s="33">
        <f>SUM(AD16:AD20)</f>
        <v>0</v>
      </c>
      <c r="AE21" s="20">
        <f t="shared" si="8"/>
        <v>-70.477329687855672</v>
      </c>
      <c r="AF21" s="128">
        <f t="shared" si="9"/>
        <v>0.96084592795119128</v>
      </c>
      <c r="AG21" s="573"/>
    </row>
    <row r="22" spans="1:33" ht="15.75" customHeight="1">
      <c r="A22" s="596" t="s">
        <v>517</v>
      </c>
      <c r="B22" s="39" t="s">
        <v>74</v>
      </c>
      <c r="C22" s="594" t="s">
        <v>84</v>
      </c>
      <c r="D22" s="594"/>
      <c r="E22" s="39">
        <v>54.09</v>
      </c>
      <c r="F22" s="135">
        <v>2506</v>
      </c>
      <c r="G22" s="125">
        <f t="shared" ref="G22:G27" si="19">E22*F22</f>
        <v>135549.54</v>
      </c>
      <c r="H22" s="48" t="s">
        <v>126</v>
      </c>
      <c r="I22" s="133">
        <v>17</v>
      </c>
      <c r="J22" s="43">
        <v>1500</v>
      </c>
      <c r="K22" s="18">
        <f t="shared" si="1"/>
        <v>88.235294117647058</v>
      </c>
      <c r="L22" s="133">
        <v>17</v>
      </c>
      <c r="M22" s="19">
        <f t="shared" ref="M22:M27" si="20">F22/V22*60</f>
        <v>1432.0000000000002</v>
      </c>
      <c r="N22" s="18">
        <f t="shared" si="3"/>
        <v>84.235294117647072</v>
      </c>
      <c r="O22" s="20">
        <f t="shared" si="4"/>
        <v>0</v>
      </c>
      <c r="P22" s="21">
        <f t="shared" si="5"/>
        <v>-3.9999999999999858</v>
      </c>
      <c r="Q22" s="128">
        <f t="shared" si="6"/>
        <v>0.95466666666666677</v>
      </c>
      <c r="R22" s="573">
        <f>Q28</f>
        <v>0.95840678519616362</v>
      </c>
      <c r="S22" s="49">
        <v>0.20833333333333334</v>
      </c>
      <c r="T22" s="49">
        <v>0.28125</v>
      </c>
      <c r="U22" s="125"/>
      <c r="V22" s="134">
        <f t="shared" ref="V22:V27" si="21">(T22-S22)*24*60</f>
        <v>104.99999999999999</v>
      </c>
      <c r="W22" s="30"/>
      <c r="X22" s="30"/>
      <c r="Y22" s="30"/>
      <c r="Z22" s="30"/>
      <c r="AA22" s="575"/>
      <c r="AB22" s="575"/>
      <c r="AC22" s="50">
        <v>6</v>
      </c>
      <c r="AD22" s="27"/>
      <c r="AE22" s="20">
        <f t="shared" si="8"/>
        <v>-67.999999999999773</v>
      </c>
      <c r="AF22" s="128">
        <f t="shared" si="9"/>
        <v>0.95466666666666677</v>
      </c>
      <c r="AG22" s="573">
        <f>AF28</f>
        <v>0.95840678519616362</v>
      </c>
    </row>
    <row r="23" spans="1:33" ht="15.75" customHeight="1">
      <c r="A23" s="597" t="s">
        <v>517</v>
      </c>
      <c r="B23" s="39" t="s">
        <v>74</v>
      </c>
      <c r="C23" s="594" t="s">
        <v>89</v>
      </c>
      <c r="D23" s="594"/>
      <c r="E23" s="39">
        <v>50.67</v>
      </c>
      <c r="F23" s="135">
        <v>2556</v>
      </c>
      <c r="G23" s="125">
        <f t="shared" si="19"/>
        <v>129512.52</v>
      </c>
      <c r="H23" s="48" t="s">
        <v>126</v>
      </c>
      <c r="I23" s="133">
        <v>17</v>
      </c>
      <c r="J23" s="43">
        <v>2000</v>
      </c>
      <c r="K23" s="18">
        <f t="shared" si="1"/>
        <v>117.64705882352941</v>
      </c>
      <c r="L23" s="133">
        <v>17</v>
      </c>
      <c r="M23" s="19">
        <f t="shared" si="20"/>
        <v>1916.9999999999993</v>
      </c>
      <c r="N23" s="18">
        <f t="shared" si="3"/>
        <v>112.7647058823529</v>
      </c>
      <c r="O23" s="20">
        <f t="shared" si="4"/>
        <v>0</v>
      </c>
      <c r="P23" s="21">
        <f t="shared" si="5"/>
        <v>-4.8823529411765065</v>
      </c>
      <c r="Q23" s="128">
        <f t="shared" si="6"/>
        <v>0.95849999999999969</v>
      </c>
      <c r="R23" s="573"/>
      <c r="S23" s="49">
        <v>0.28541666666666665</v>
      </c>
      <c r="T23" s="49">
        <v>0.34097222222222223</v>
      </c>
      <c r="U23" s="125">
        <f t="shared" ref="U23:U27" si="22">IF(S23=TIME(17,0,0),"",(S23-T22)*24*60)</f>
        <v>5.9999999999999787</v>
      </c>
      <c r="V23" s="134">
        <f t="shared" si="21"/>
        <v>80.000000000000028</v>
      </c>
      <c r="W23" s="25"/>
      <c r="X23" s="125"/>
      <c r="Y23" s="125"/>
      <c r="Z23" s="125"/>
      <c r="AA23" s="575"/>
      <c r="AB23" s="575"/>
      <c r="AC23" s="50"/>
      <c r="AD23" s="27"/>
      <c r="AE23" s="20">
        <f t="shared" si="8"/>
        <v>-83.000000000000682</v>
      </c>
      <c r="AF23" s="128">
        <f t="shared" si="9"/>
        <v>0.95849999999999969</v>
      </c>
      <c r="AG23" s="573"/>
    </row>
    <row r="24" spans="1:33" ht="15.75" customHeight="1">
      <c r="A24" s="597" t="s">
        <v>517</v>
      </c>
      <c r="B24" s="39" t="s">
        <v>74</v>
      </c>
      <c r="C24" s="594" t="s">
        <v>90</v>
      </c>
      <c r="D24" s="594"/>
      <c r="E24" s="39">
        <v>57.73</v>
      </c>
      <c r="F24" s="135">
        <v>2670</v>
      </c>
      <c r="G24" s="125">
        <f t="shared" si="19"/>
        <v>154139.1</v>
      </c>
      <c r="H24" s="48" t="s">
        <v>126</v>
      </c>
      <c r="I24" s="133">
        <v>14</v>
      </c>
      <c r="J24" s="43">
        <v>2000</v>
      </c>
      <c r="K24" s="18">
        <f t="shared" si="1"/>
        <v>142.85714285714286</v>
      </c>
      <c r="L24" s="133">
        <v>14</v>
      </c>
      <c r="M24" s="19">
        <f t="shared" si="20"/>
        <v>1907.1428571428564</v>
      </c>
      <c r="N24" s="18">
        <f t="shared" si="3"/>
        <v>136.22448979591832</v>
      </c>
      <c r="O24" s="20">
        <f t="shared" si="4"/>
        <v>0</v>
      </c>
      <c r="P24" s="21">
        <f t="shared" si="5"/>
        <v>-6.6326530612245449</v>
      </c>
      <c r="Q24" s="128">
        <f t="shared" si="6"/>
        <v>0.95357142857142818</v>
      </c>
      <c r="R24" s="573"/>
      <c r="S24" s="49">
        <v>0.34513888888888888</v>
      </c>
      <c r="T24" s="49">
        <v>0.40347222222222223</v>
      </c>
      <c r="U24" s="125">
        <f t="shared" si="22"/>
        <v>5.9999999999999787</v>
      </c>
      <c r="V24" s="134">
        <f t="shared" si="21"/>
        <v>84.000000000000028</v>
      </c>
      <c r="W24" s="25"/>
      <c r="X24" s="125"/>
      <c r="Y24" s="125"/>
      <c r="Z24" s="125"/>
      <c r="AA24" s="575"/>
      <c r="AB24" s="575"/>
      <c r="AC24" s="50"/>
      <c r="AD24" s="27"/>
      <c r="AE24" s="20">
        <f t="shared" si="8"/>
        <v>-92.857142857143572</v>
      </c>
      <c r="AF24" s="128">
        <f t="shared" si="9"/>
        <v>0.95357142857142818</v>
      </c>
      <c r="AG24" s="573"/>
    </row>
    <row r="25" spans="1:33" ht="15.75" customHeight="1">
      <c r="A25" s="597" t="s">
        <v>517</v>
      </c>
      <c r="B25" s="39" t="s">
        <v>74</v>
      </c>
      <c r="C25" s="594" t="s">
        <v>91</v>
      </c>
      <c r="D25" s="594"/>
      <c r="E25" s="39">
        <v>53.68</v>
      </c>
      <c r="F25" s="135">
        <v>1387</v>
      </c>
      <c r="G25" s="125">
        <f t="shared" si="19"/>
        <v>74454.16</v>
      </c>
      <c r="H25" s="48" t="s">
        <v>126</v>
      </c>
      <c r="I25" s="133">
        <v>16</v>
      </c>
      <c r="J25" s="43">
        <v>2000</v>
      </c>
      <c r="K25" s="18">
        <f t="shared" si="1"/>
        <v>125</v>
      </c>
      <c r="L25" s="133">
        <v>16</v>
      </c>
      <c r="M25" s="19">
        <f t="shared" si="20"/>
        <v>1935.3488372093018</v>
      </c>
      <c r="N25" s="18">
        <f t="shared" si="3"/>
        <v>120.95930232558136</v>
      </c>
      <c r="O25" s="20">
        <f t="shared" si="4"/>
        <v>0</v>
      </c>
      <c r="P25" s="21">
        <f t="shared" si="5"/>
        <v>-4.040697674418638</v>
      </c>
      <c r="Q25" s="128">
        <f t="shared" si="6"/>
        <v>0.96767441860465087</v>
      </c>
      <c r="R25" s="573"/>
      <c r="S25" s="49">
        <v>0.40694444444444444</v>
      </c>
      <c r="T25" s="49">
        <v>0.43680555555555556</v>
      </c>
      <c r="U25" s="125">
        <f t="shared" si="22"/>
        <v>4.9999999999999822</v>
      </c>
      <c r="V25" s="134">
        <f t="shared" si="21"/>
        <v>43.000000000000007</v>
      </c>
      <c r="W25" s="25"/>
      <c r="X25" s="125"/>
      <c r="Y25" s="125"/>
      <c r="Z25" s="125"/>
      <c r="AA25" s="575"/>
      <c r="AB25" s="575"/>
      <c r="AC25" s="50"/>
      <c r="AD25" s="27"/>
      <c r="AE25" s="20">
        <f t="shared" si="8"/>
        <v>-64.651162790698208</v>
      </c>
      <c r="AF25" s="128">
        <f t="shared" si="9"/>
        <v>0.96767441860465087</v>
      </c>
      <c r="AG25" s="573"/>
    </row>
    <row r="26" spans="1:33" ht="15.75" customHeight="1">
      <c r="A26" s="597" t="s">
        <v>517</v>
      </c>
      <c r="B26" s="39" t="s">
        <v>74</v>
      </c>
      <c r="C26" s="594" t="s">
        <v>92</v>
      </c>
      <c r="D26" s="594"/>
      <c r="E26" s="39">
        <v>50.49</v>
      </c>
      <c r="F26" s="135">
        <v>2200</v>
      </c>
      <c r="G26" s="125">
        <f t="shared" si="19"/>
        <v>111078</v>
      </c>
      <c r="H26" s="48" t="s">
        <v>126</v>
      </c>
      <c r="I26" s="133">
        <v>15</v>
      </c>
      <c r="J26" s="43">
        <v>2000</v>
      </c>
      <c r="K26" s="18">
        <f t="shared" si="1"/>
        <v>133.33333333333334</v>
      </c>
      <c r="L26" s="133">
        <v>15</v>
      </c>
      <c r="M26" s="19">
        <f t="shared" si="20"/>
        <v>1913.0434782608677</v>
      </c>
      <c r="N26" s="18">
        <f t="shared" si="3"/>
        <v>127.53623188405784</v>
      </c>
      <c r="O26" s="20">
        <f t="shared" si="4"/>
        <v>0</v>
      </c>
      <c r="P26" s="21">
        <f t="shared" si="5"/>
        <v>-5.7971014492755017</v>
      </c>
      <c r="Q26" s="128">
        <f t="shared" si="6"/>
        <v>0.9565217391304337</v>
      </c>
      <c r="R26" s="573"/>
      <c r="S26" s="49">
        <v>0.70833333333333337</v>
      </c>
      <c r="T26" s="49">
        <v>0.75625000000000009</v>
      </c>
      <c r="U26" s="125" t="str">
        <f t="shared" si="22"/>
        <v/>
      </c>
      <c r="V26" s="134">
        <f t="shared" si="21"/>
        <v>69.000000000000071</v>
      </c>
      <c r="W26" s="25"/>
      <c r="X26" s="25"/>
      <c r="Y26" s="125"/>
      <c r="Z26" s="125"/>
      <c r="AA26" s="575"/>
      <c r="AB26" s="575"/>
      <c r="AC26" s="50"/>
      <c r="AD26" s="27"/>
      <c r="AE26" s="20">
        <f t="shared" si="8"/>
        <v>-86.956521739132313</v>
      </c>
      <c r="AF26" s="128">
        <f t="shared" si="9"/>
        <v>0.95652173913043381</v>
      </c>
      <c r="AG26" s="573"/>
    </row>
    <row r="27" spans="1:33" ht="15.75" customHeight="1">
      <c r="A27" s="597" t="s">
        <v>517</v>
      </c>
      <c r="B27" s="39" t="s">
        <v>74</v>
      </c>
      <c r="C27" s="594" t="s">
        <v>93</v>
      </c>
      <c r="D27" s="594"/>
      <c r="E27" s="39">
        <v>50.98</v>
      </c>
      <c r="F27" s="135">
        <v>2684</v>
      </c>
      <c r="G27" s="125">
        <f t="shared" si="19"/>
        <v>136830.31999999998</v>
      </c>
      <c r="H27" s="48" t="s">
        <v>126</v>
      </c>
      <c r="I27" s="133">
        <v>16</v>
      </c>
      <c r="J27" s="43">
        <v>2000</v>
      </c>
      <c r="K27" s="18">
        <f t="shared" si="1"/>
        <v>125</v>
      </c>
      <c r="L27" s="133">
        <v>16</v>
      </c>
      <c r="M27" s="19">
        <f t="shared" si="20"/>
        <v>1917.1428571428564</v>
      </c>
      <c r="N27" s="18">
        <f t="shared" si="3"/>
        <v>119.82142857142853</v>
      </c>
      <c r="O27" s="20">
        <f t="shared" si="4"/>
        <v>0</v>
      </c>
      <c r="P27" s="21">
        <f t="shared" si="5"/>
        <v>-5.1785714285714732</v>
      </c>
      <c r="Q27" s="128">
        <f t="shared" si="6"/>
        <v>0.95857142857142819</v>
      </c>
      <c r="R27" s="573"/>
      <c r="S27" s="49">
        <v>0.76111111111111118</v>
      </c>
      <c r="T27" s="49">
        <v>0.81944444444444453</v>
      </c>
      <c r="U27" s="125">
        <f t="shared" si="22"/>
        <v>6.9999999999999751</v>
      </c>
      <c r="V27" s="134">
        <f t="shared" si="21"/>
        <v>84.000000000000028</v>
      </c>
      <c r="W27" s="25"/>
      <c r="X27" s="30"/>
      <c r="Y27" s="30"/>
      <c r="Z27" s="30"/>
      <c r="AA27" s="575"/>
      <c r="AB27" s="575"/>
      <c r="AC27" s="50"/>
      <c r="AD27" s="27"/>
      <c r="AE27" s="20">
        <f t="shared" si="8"/>
        <v>-82.857142857143572</v>
      </c>
      <c r="AF27" s="128">
        <f t="shared" si="9"/>
        <v>0.95857142857142819</v>
      </c>
      <c r="AG27" s="573"/>
    </row>
    <row r="28" spans="1:33" ht="15.75" customHeight="1">
      <c r="A28" s="597" t="s">
        <v>517</v>
      </c>
      <c r="B28" s="39" t="s">
        <v>515</v>
      </c>
      <c r="C28" s="576"/>
      <c r="D28" s="576"/>
      <c r="E28" s="132"/>
      <c r="F28" s="135"/>
      <c r="G28" s="125"/>
      <c r="H28" s="135"/>
      <c r="I28" s="32">
        <v>15.833333333333334</v>
      </c>
      <c r="J28" s="43">
        <v>1916.6666666666667</v>
      </c>
      <c r="K28" s="18">
        <f t="shared" si="1"/>
        <v>121.05263157894737</v>
      </c>
      <c r="L28" s="32">
        <v>15.833333333333334</v>
      </c>
      <c r="M28" s="19">
        <f>AVERAGE(M22:M27)</f>
        <v>1836.9463382926469</v>
      </c>
      <c r="N28" s="18">
        <f t="shared" si="3"/>
        <v>116.01766347111455</v>
      </c>
      <c r="O28" s="20">
        <f t="shared" si="4"/>
        <v>0</v>
      </c>
      <c r="P28" s="21">
        <f t="shared" si="5"/>
        <v>-5.0349681078328246</v>
      </c>
      <c r="Q28" s="128">
        <f t="shared" si="6"/>
        <v>0.95840678519616362</v>
      </c>
      <c r="R28" s="573"/>
      <c r="S28" s="49"/>
      <c r="T28" s="49"/>
      <c r="U28" s="18"/>
      <c r="V28" s="134"/>
      <c r="W28" s="18"/>
      <c r="X28" s="18"/>
      <c r="Y28" s="33">
        <f>SUM(Y22:Y27)</f>
        <v>0</v>
      </c>
      <c r="Z28" s="33">
        <f>SUM(Z22:Z27)</f>
        <v>0</v>
      </c>
      <c r="AA28" s="572"/>
      <c r="AB28" s="572"/>
      <c r="AC28" s="33">
        <v>6</v>
      </c>
      <c r="AD28" s="33">
        <f>SUM(AD22:AD27)</f>
        <v>0</v>
      </c>
      <c r="AE28" s="20">
        <f t="shared" si="8"/>
        <v>-79.7203283740198</v>
      </c>
      <c r="AF28" s="128">
        <f t="shared" si="9"/>
        <v>0.95840678519616362</v>
      </c>
      <c r="AG28" s="573"/>
    </row>
    <row r="29" spans="1:33" ht="15.75" customHeight="1">
      <c r="A29" s="595" t="s">
        <v>518</v>
      </c>
      <c r="B29" s="39" t="s">
        <v>94</v>
      </c>
      <c r="C29" s="594" t="s">
        <v>95</v>
      </c>
      <c r="D29" s="594"/>
      <c r="E29" s="39">
        <v>31.29</v>
      </c>
      <c r="F29" s="135">
        <v>8600</v>
      </c>
      <c r="G29" s="125">
        <f t="shared" ref="G29:G35" si="23">E29*F29</f>
        <v>269094</v>
      </c>
      <c r="H29" s="48">
        <v>2</v>
      </c>
      <c r="I29" s="133">
        <v>18</v>
      </c>
      <c r="J29" s="43">
        <v>2400</v>
      </c>
      <c r="K29" s="18">
        <f t="shared" si="1"/>
        <v>133.33333333333334</v>
      </c>
      <c r="L29" s="133">
        <v>18</v>
      </c>
      <c r="M29" s="19">
        <f t="shared" ref="M29:M35" si="24">F29/V29*60</f>
        <v>2283.1858407079644</v>
      </c>
      <c r="N29" s="18">
        <f t="shared" si="3"/>
        <v>126.84365781710913</v>
      </c>
      <c r="O29" s="20">
        <f t="shared" si="4"/>
        <v>0</v>
      </c>
      <c r="P29" s="21">
        <f t="shared" si="5"/>
        <v>-6.4896755162242101</v>
      </c>
      <c r="Q29" s="128">
        <f t="shared" si="6"/>
        <v>0.9513274336283184</v>
      </c>
      <c r="R29" s="573">
        <f>Q36</f>
        <v>0.95485262707807139</v>
      </c>
      <c r="S29" s="49">
        <v>8.3333333333333329E-2</v>
      </c>
      <c r="T29" s="49">
        <v>0.24027777777777776</v>
      </c>
      <c r="U29" s="125"/>
      <c r="V29" s="134">
        <f t="shared" ref="V29:V35" si="25">(T29-S29)*24*60</f>
        <v>226</v>
      </c>
      <c r="W29" s="25">
        <f>T29</f>
        <v>0.24027777777777776</v>
      </c>
      <c r="X29" s="25">
        <f>S30</f>
        <v>0.26041666666666663</v>
      </c>
      <c r="Y29" s="25"/>
      <c r="Z29" s="25"/>
      <c r="AA29" s="575"/>
      <c r="AB29" s="575"/>
      <c r="AC29" s="50">
        <v>7</v>
      </c>
      <c r="AD29" s="27"/>
      <c r="AE29" s="20">
        <f t="shared" si="8"/>
        <v>-116.81415929203558</v>
      </c>
      <c r="AF29" s="128">
        <f t="shared" si="9"/>
        <v>0.95132743362831851</v>
      </c>
      <c r="AG29" s="573">
        <f>AF36</f>
        <v>0.95485262707807139</v>
      </c>
    </row>
    <row r="30" spans="1:33" ht="15.75" customHeight="1">
      <c r="A30" s="595" t="s">
        <v>518</v>
      </c>
      <c r="B30" s="39" t="s">
        <v>94</v>
      </c>
      <c r="C30" s="594" t="s">
        <v>97</v>
      </c>
      <c r="D30" s="594"/>
      <c r="E30" s="39">
        <v>26.37</v>
      </c>
      <c r="F30" s="135">
        <v>4100</v>
      </c>
      <c r="G30" s="125">
        <f t="shared" si="23"/>
        <v>108117</v>
      </c>
      <c r="H30" s="48">
        <v>2</v>
      </c>
      <c r="I30" s="133">
        <v>19</v>
      </c>
      <c r="J30" s="43">
        <v>2400</v>
      </c>
      <c r="K30" s="18">
        <f t="shared" si="1"/>
        <v>126.31578947368421</v>
      </c>
      <c r="L30" s="133">
        <v>19</v>
      </c>
      <c r="M30" s="19">
        <f t="shared" si="24"/>
        <v>2299.0654205607475</v>
      </c>
      <c r="N30" s="18">
        <f t="shared" si="3"/>
        <v>121.00344318740777</v>
      </c>
      <c r="O30" s="20">
        <f t="shared" si="4"/>
        <v>0</v>
      </c>
      <c r="P30" s="21">
        <f t="shared" si="5"/>
        <v>-5.312346286276437</v>
      </c>
      <c r="Q30" s="128">
        <f t="shared" si="6"/>
        <v>0.95794392523364491</v>
      </c>
      <c r="R30" s="573"/>
      <c r="S30" s="49">
        <v>0.26041666666666663</v>
      </c>
      <c r="T30" s="49">
        <v>0.3347222222222222</v>
      </c>
      <c r="U30" s="125">
        <f t="shared" ref="U30:U35" si="26">(S30-T29)*24*60</f>
        <v>28.999999999999979</v>
      </c>
      <c r="V30" s="134">
        <f t="shared" si="25"/>
        <v>107.00000000000001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-100.9345794392525</v>
      </c>
      <c r="AF30" s="128">
        <f t="shared" si="9"/>
        <v>0.9579439252336448</v>
      </c>
      <c r="AG30" s="573"/>
    </row>
    <row r="31" spans="1:33" ht="15.75" customHeight="1">
      <c r="A31" s="595" t="s">
        <v>518</v>
      </c>
      <c r="B31" s="39" t="s">
        <v>94</v>
      </c>
      <c r="C31" s="594" t="s">
        <v>98</v>
      </c>
      <c r="D31" s="594"/>
      <c r="E31" s="39">
        <v>25.99</v>
      </c>
      <c r="F31" s="135">
        <v>3600</v>
      </c>
      <c r="G31" s="125">
        <f t="shared" si="23"/>
        <v>93564</v>
      </c>
      <c r="H31" s="48">
        <v>2</v>
      </c>
      <c r="I31" s="133">
        <v>14</v>
      </c>
      <c r="J31" s="43">
        <v>2400</v>
      </c>
      <c r="K31" s="18">
        <f t="shared" si="1"/>
        <v>171.42857142857142</v>
      </c>
      <c r="L31" s="133">
        <v>14</v>
      </c>
      <c r="M31" s="19">
        <f t="shared" si="24"/>
        <v>2297.872340425532</v>
      </c>
      <c r="N31" s="18">
        <f t="shared" si="3"/>
        <v>164.13373860182372</v>
      </c>
      <c r="O31" s="20">
        <f t="shared" si="4"/>
        <v>0</v>
      </c>
      <c r="P31" s="21">
        <f t="shared" si="5"/>
        <v>-7.2948328267476938</v>
      </c>
      <c r="Q31" s="128">
        <f t="shared" si="6"/>
        <v>0.95744680851063846</v>
      </c>
      <c r="R31" s="573"/>
      <c r="S31" s="49">
        <v>0.33819444444444441</v>
      </c>
      <c r="T31" s="49">
        <v>0.40347222222222218</v>
      </c>
      <c r="U31" s="125">
        <f t="shared" si="26"/>
        <v>4.9999999999999822</v>
      </c>
      <c r="V31" s="134">
        <f t="shared" si="25"/>
        <v>93.999999999999986</v>
      </c>
      <c r="W31" s="25"/>
      <c r="X31" s="25"/>
      <c r="Y31" s="25"/>
      <c r="Z31" s="25"/>
      <c r="AA31" s="575"/>
      <c r="AB31" s="575"/>
      <c r="AC31" s="50"/>
      <c r="AD31" s="27"/>
      <c r="AE31" s="20">
        <f t="shared" si="8"/>
        <v>-102.127659574468</v>
      </c>
      <c r="AF31" s="128">
        <f t="shared" si="9"/>
        <v>0.95744680851063835</v>
      </c>
      <c r="AG31" s="573"/>
    </row>
    <row r="32" spans="1:33" ht="15.75" customHeight="1">
      <c r="A32" s="595" t="s">
        <v>518</v>
      </c>
      <c r="B32" s="39" t="s">
        <v>94</v>
      </c>
      <c r="C32" s="594" t="s">
        <v>122</v>
      </c>
      <c r="D32" s="594"/>
      <c r="E32" s="39">
        <v>20.52</v>
      </c>
      <c r="F32" s="135">
        <v>3895</v>
      </c>
      <c r="G32" s="125">
        <f t="shared" si="23"/>
        <v>79925.399999999994</v>
      </c>
      <c r="H32" s="48" t="s">
        <v>126</v>
      </c>
      <c r="I32" s="133">
        <v>18</v>
      </c>
      <c r="J32" s="43">
        <v>2400</v>
      </c>
      <c r="K32" s="18">
        <f t="shared" si="1"/>
        <v>133.33333333333334</v>
      </c>
      <c r="L32" s="133">
        <v>18</v>
      </c>
      <c r="M32" s="19">
        <f t="shared" si="24"/>
        <v>2291.1764705882347</v>
      </c>
      <c r="N32" s="18">
        <f t="shared" si="3"/>
        <v>127.28758169934638</v>
      </c>
      <c r="O32" s="20">
        <f t="shared" si="4"/>
        <v>0</v>
      </c>
      <c r="P32" s="21">
        <f t="shared" si="5"/>
        <v>-6.045751633986967</v>
      </c>
      <c r="Q32" s="128">
        <f t="shared" si="6"/>
        <v>0.95465686274509776</v>
      </c>
      <c r="R32" s="573"/>
      <c r="S32" s="49">
        <v>0.40694444444444439</v>
      </c>
      <c r="T32" s="49">
        <v>0.47777777777777775</v>
      </c>
      <c r="U32" s="125">
        <f t="shared" si="26"/>
        <v>4.9999999999999822</v>
      </c>
      <c r="V32" s="134">
        <f t="shared" si="25"/>
        <v>102.00000000000004</v>
      </c>
      <c r="W32" s="25">
        <f>T32</f>
        <v>0.47777777777777775</v>
      </c>
      <c r="X32" s="25">
        <f>S33</f>
        <v>0.51805555555555549</v>
      </c>
      <c r="Y32" s="25"/>
      <c r="Z32" s="25"/>
      <c r="AA32" s="575"/>
      <c r="AB32" s="575"/>
      <c r="AC32" s="50"/>
      <c r="AD32" s="27"/>
      <c r="AE32" s="20">
        <f t="shared" si="8"/>
        <v>-108.82352941176532</v>
      </c>
      <c r="AF32" s="128">
        <f t="shared" si="9"/>
        <v>0.95465686274509776</v>
      </c>
      <c r="AG32" s="573"/>
    </row>
    <row r="33" spans="1:33" ht="15.75" customHeight="1">
      <c r="A33" s="595" t="s">
        <v>518</v>
      </c>
      <c r="B33" s="39" t="s">
        <v>94</v>
      </c>
      <c r="C33" s="594" t="s">
        <v>95</v>
      </c>
      <c r="D33" s="594"/>
      <c r="E33" s="39">
        <v>31.29</v>
      </c>
      <c r="F33" s="135">
        <v>6040</v>
      </c>
      <c r="G33" s="125">
        <f t="shared" si="23"/>
        <v>188991.6</v>
      </c>
      <c r="H33" s="48" t="s">
        <v>126</v>
      </c>
      <c r="I33" s="133">
        <v>18</v>
      </c>
      <c r="J33" s="43">
        <v>2400</v>
      </c>
      <c r="K33" s="18">
        <f t="shared" si="1"/>
        <v>133.33333333333334</v>
      </c>
      <c r="L33" s="133">
        <v>18</v>
      </c>
      <c r="M33" s="19">
        <f t="shared" si="24"/>
        <v>2293.6708860759481</v>
      </c>
      <c r="N33" s="18">
        <f t="shared" si="3"/>
        <v>127.42616033755267</v>
      </c>
      <c r="O33" s="20">
        <f t="shared" si="4"/>
        <v>0</v>
      </c>
      <c r="P33" s="21">
        <f t="shared" si="5"/>
        <v>-5.9071729957806696</v>
      </c>
      <c r="Q33" s="128">
        <f t="shared" si="6"/>
        <v>0.955696202531645</v>
      </c>
      <c r="R33" s="573"/>
      <c r="S33" s="49">
        <v>0.51805555555555549</v>
      </c>
      <c r="T33" s="49">
        <v>0.62777777777777777</v>
      </c>
      <c r="U33" s="125">
        <f t="shared" si="26"/>
        <v>57.999999999999957</v>
      </c>
      <c r="V33" s="134">
        <f t="shared" si="25"/>
        <v>158.00000000000009</v>
      </c>
      <c r="W33" s="25"/>
      <c r="X33" s="25"/>
      <c r="Y33" s="25"/>
      <c r="Z33" s="25"/>
      <c r="AA33" s="575"/>
      <c r="AB33" s="575"/>
      <c r="AC33" s="50"/>
      <c r="AD33" s="27"/>
      <c r="AE33" s="20">
        <f t="shared" si="8"/>
        <v>-106.32911392405185</v>
      </c>
      <c r="AF33" s="128">
        <f t="shared" si="9"/>
        <v>0.95569620253164511</v>
      </c>
      <c r="AG33" s="573"/>
    </row>
    <row r="34" spans="1:33" ht="15.75" customHeight="1">
      <c r="A34" s="595" t="s">
        <v>518</v>
      </c>
      <c r="B34" s="39" t="s">
        <v>94</v>
      </c>
      <c r="C34" s="594" t="s">
        <v>97</v>
      </c>
      <c r="D34" s="594"/>
      <c r="E34" s="39">
        <v>26.37</v>
      </c>
      <c r="F34" s="135">
        <v>2941</v>
      </c>
      <c r="G34" s="125">
        <f t="shared" si="23"/>
        <v>77554.17</v>
      </c>
      <c r="H34" s="48" t="s">
        <v>126</v>
      </c>
      <c r="I34" s="133">
        <v>19</v>
      </c>
      <c r="J34" s="43">
        <v>2400</v>
      </c>
      <c r="K34" s="18">
        <f t="shared" si="1"/>
        <v>126.31578947368421</v>
      </c>
      <c r="L34" s="133">
        <v>19</v>
      </c>
      <c r="M34" s="19">
        <f t="shared" si="24"/>
        <v>2291.6883116883105</v>
      </c>
      <c r="N34" s="18">
        <f t="shared" si="3"/>
        <v>120.61517429938476</v>
      </c>
      <c r="O34" s="20">
        <f t="shared" si="4"/>
        <v>0</v>
      </c>
      <c r="P34" s="21">
        <f t="shared" si="5"/>
        <v>-5.7006151742994433</v>
      </c>
      <c r="Q34" s="128">
        <f t="shared" si="6"/>
        <v>0.95487012987012942</v>
      </c>
      <c r="R34" s="573"/>
      <c r="S34" s="49">
        <v>0.63263888888888886</v>
      </c>
      <c r="T34" s="49">
        <v>0.68611111111111112</v>
      </c>
      <c r="U34" s="125">
        <f t="shared" si="26"/>
        <v>6.9999999999999751</v>
      </c>
      <c r="V34" s="134">
        <f t="shared" si="25"/>
        <v>77.000000000000043</v>
      </c>
      <c r="W34" s="25"/>
      <c r="X34" s="25"/>
      <c r="Y34" s="25"/>
      <c r="Z34" s="25"/>
      <c r="AA34" s="575"/>
      <c r="AB34" s="575"/>
      <c r="AC34" s="50"/>
      <c r="AD34" s="27"/>
      <c r="AE34" s="20">
        <f t="shared" si="8"/>
        <v>-108.31168831168952</v>
      </c>
      <c r="AF34" s="128">
        <f t="shared" si="9"/>
        <v>0.95487012987012931</v>
      </c>
      <c r="AG34" s="573"/>
    </row>
    <row r="35" spans="1:33" ht="15.75" customHeight="1">
      <c r="A35" s="595" t="s">
        <v>518</v>
      </c>
      <c r="B35" s="39" t="s">
        <v>94</v>
      </c>
      <c r="C35" s="594" t="s">
        <v>98</v>
      </c>
      <c r="D35" s="594"/>
      <c r="E35" s="39">
        <v>25.99</v>
      </c>
      <c r="F35" s="135">
        <v>2818</v>
      </c>
      <c r="G35" s="125">
        <f t="shared" si="23"/>
        <v>73239.819999999992</v>
      </c>
      <c r="H35" s="48" t="s">
        <v>126</v>
      </c>
      <c r="I35" s="133">
        <v>14</v>
      </c>
      <c r="J35" s="43">
        <v>2400</v>
      </c>
      <c r="K35" s="18">
        <f t="shared" si="1"/>
        <v>171.42857142857142</v>
      </c>
      <c r="L35" s="133">
        <v>14</v>
      </c>
      <c r="M35" s="19">
        <f t="shared" si="24"/>
        <v>2284.8648648648632</v>
      </c>
      <c r="N35" s="18">
        <f t="shared" si="3"/>
        <v>163.2046332046331</v>
      </c>
      <c r="O35" s="20">
        <f t="shared" si="4"/>
        <v>0</v>
      </c>
      <c r="P35" s="21">
        <f t="shared" si="5"/>
        <v>-8.223938223938319</v>
      </c>
      <c r="Q35" s="128">
        <f t="shared" si="6"/>
        <v>0.95202702702702646</v>
      </c>
      <c r="R35" s="573"/>
      <c r="S35" s="49">
        <v>0.69097222222222221</v>
      </c>
      <c r="T35" s="49">
        <v>0.74236111111111114</v>
      </c>
      <c r="U35" s="125">
        <f t="shared" si="26"/>
        <v>6.9999999999999751</v>
      </c>
      <c r="V35" s="134">
        <f t="shared" si="25"/>
        <v>74.000000000000057</v>
      </c>
      <c r="W35" s="25"/>
      <c r="X35" s="25"/>
      <c r="Y35" s="25"/>
      <c r="Z35" s="25"/>
      <c r="AA35" s="575"/>
      <c r="AB35" s="575"/>
      <c r="AC35" s="50"/>
      <c r="AD35" s="27"/>
      <c r="AE35" s="20">
        <f t="shared" si="8"/>
        <v>-115.13513513513681</v>
      </c>
      <c r="AF35" s="128">
        <f t="shared" si="9"/>
        <v>0.95202702702702635</v>
      </c>
      <c r="AG35" s="573"/>
    </row>
    <row r="36" spans="1:33" ht="15.75" customHeight="1">
      <c r="A36" s="595" t="s">
        <v>518</v>
      </c>
      <c r="B36" s="39" t="s">
        <v>515</v>
      </c>
      <c r="C36" s="576"/>
      <c r="D36" s="576"/>
      <c r="E36" s="132"/>
      <c r="F36" s="135"/>
      <c r="G36" s="125"/>
      <c r="H36" s="135"/>
      <c r="I36" s="32">
        <v>17.142857142857142</v>
      </c>
      <c r="J36" s="43">
        <v>2400</v>
      </c>
      <c r="K36" s="18">
        <f t="shared" si="1"/>
        <v>140</v>
      </c>
      <c r="L36" s="32">
        <v>17.142857142857142</v>
      </c>
      <c r="M36" s="19">
        <f>AVERAGE(M29:M35)</f>
        <v>2291.6463049873714</v>
      </c>
      <c r="N36" s="18">
        <f t="shared" si="3"/>
        <v>133.67936779093</v>
      </c>
      <c r="O36" s="20">
        <f t="shared" si="4"/>
        <v>0</v>
      </c>
      <c r="P36" s="21">
        <f t="shared" si="5"/>
        <v>-6.3206322090699985</v>
      </c>
      <c r="Q36" s="128">
        <f t="shared" si="6"/>
        <v>0.95485262707807139</v>
      </c>
      <c r="R36" s="573"/>
      <c r="S36" s="49"/>
      <c r="T36" s="49"/>
      <c r="U36" s="125"/>
      <c r="V36" s="134"/>
      <c r="W36" s="125"/>
      <c r="X36" s="125"/>
      <c r="Y36" s="33">
        <f>SUM(Y29:Y35)</f>
        <v>0</v>
      </c>
      <c r="Z36" s="33">
        <f>SUM(Z29:Z35)</f>
        <v>0</v>
      </c>
      <c r="AA36" s="572"/>
      <c r="AB36" s="572"/>
      <c r="AC36" s="33">
        <v>7</v>
      </c>
      <c r="AD36" s="33">
        <f>SUM(AD29:AD35)</f>
        <v>0</v>
      </c>
      <c r="AE36" s="20">
        <f t="shared" si="8"/>
        <v>-108.35369501262858</v>
      </c>
      <c r="AF36" s="128">
        <f t="shared" si="9"/>
        <v>0.95485262707807139</v>
      </c>
      <c r="AG36" s="573"/>
    </row>
    <row r="37" spans="1:33" ht="15.75" customHeight="1">
      <c r="A37" s="592" t="s">
        <v>519</v>
      </c>
      <c r="B37" s="39" t="s">
        <v>94</v>
      </c>
      <c r="C37" s="574" t="s">
        <v>99</v>
      </c>
      <c r="D37" s="574"/>
      <c r="E37" s="39">
        <v>20.36</v>
      </c>
      <c r="F37" s="135">
        <v>6450</v>
      </c>
      <c r="G37" s="125">
        <f t="shared" ref="G37:G42" si="27">E37*F37</f>
        <v>131322</v>
      </c>
      <c r="H37" s="48" t="s">
        <v>126</v>
      </c>
      <c r="I37" s="133">
        <v>18</v>
      </c>
      <c r="J37" s="43">
        <v>2400</v>
      </c>
      <c r="K37" s="18">
        <f t="shared" si="1"/>
        <v>133.33333333333334</v>
      </c>
      <c r="L37" s="133">
        <v>18</v>
      </c>
      <c r="M37" s="19">
        <f t="shared" ref="M37:M42" si="28">F37/V37*60</f>
        <v>2289.9408284023671</v>
      </c>
      <c r="N37" s="18">
        <f t="shared" si="3"/>
        <v>127.21893491124261</v>
      </c>
      <c r="O37" s="20">
        <f t="shared" si="4"/>
        <v>0</v>
      </c>
      <c r="P37" s="21">
        <f t="shared" si="5"/>
        <v>-6.1143984220907299</v>
      </c>
      <c r="Q37" s="128">
        <f t="shared" si="6"/>
        <v>0.95414201183431957</v>
      </c>
      <c r="R37" s="573">
        <f>Q43</f>
        <v>0.95335493205495048</v>
      </c>
      <c r="S37" s="49">
        <v>8.3333333333333329E-2</v>
      </c>
      <c r="T37" s="49">
        <v>0.20069444444444445</v>
      </c>
      <c r="U37" s="125"/>
      <c r="V37" s="134">
        <f t="shared" ref="V37:V42" si="29">(T37-S37)*24*60</f>
        <v>169</v>
      </c>
      <c r="W37" s="30">
        <f>T37</f>
        <v>0.20069444444444445</v>
      </c>
      <c r="X37" s="30">
        <f>S38</f>
        <v>0.22013888888888888</v>
      </c>
      <c r="Y37" s="30"/>
      <c r="Z37" s="30"/>
      <c r="AA37" s="575"/>
      <c r="AB37" s="575"/>
      <c r="AC37" s="50">
        <v>6</v>
      </c>
      <c r="AD37" s="27"/>
      <c r="AE37" s="20">
        <f t="shared" si="8"/>
        <v>-110.05917159763294</v>
      </c>
      <c r="AF37" s="128">
        <f t="shared" si="9"/>
        <v>0.95414201183431957</v>
      </c>
      <c r="AG37" s="573">
        <f>AF43</f>
        <v>0.95335493205495037</v>
      </c>
    </row>
    <row r="38" spans="1:33" ht="15.75" customHeight="1">
      <c r="A38" s="592" t="s">
        <v>519</v>
      </c>
      <c r="B38" s="39" t="s">
        <v>94</v>
      </c>
      <c r="C38" s="574" t="s">
        <v>100</v>
      </c>
      <c r="D38" s="574"/>
      <c r="E38" s="39">
        <v>24.43</v>
      </c>
      <c r="F38" s="135">
        <v>5500</v>
      </c>
      <c r="G38" s="125">
        <f t="shared" si="27"/>
        <v>134365</v>
      </c>
      <c r="H38" s="48">
        <v>2</v>
      </c>
      <c r="I38" s="133">
        <v>14</v>
      </c>
      <c r="J38" s="43">
        <v>2400</v>
      </c>
      <c r="K38" s="18">
        <f t="shared" si="1"/>
        <v>171.42857142857142</v>
      </c>
      <c r="L38" s="133">
        <v>14</v>
      </c>
      <c r="M38" s="19">
        <f t="shared" si="28"/>
        <v>2291.666666666667</v>
      </c>
      <c r="N38" s="18">
        <f t="shared" si="3"/>
        <v>163.6904761904762</v>
      </c>
      <c r="O38" s="20">
        <f t="shared" si="4"/>
        <v>0</v>
      </c>
      <c r="P38" s="21">
        <f t="shared" si="5"/>
        <v>-7.7380952380952124</v>
      </c>
      <c r="Q38" s="128">
        <f t="shared" si="6"/>
        <v>0.95486111111111127</v>
      </c>
      <c r="R38" s="573"/>
      <c r="S38" s="49">
        <v>0.22013888888888888</v>
      </c>
      <c r="T38" s="49">
        <v>0.32013888888888886</v>
      </c>
      <c r="U38" s="125">
        <f t="shared" ref="U38:U42" si="30">(S38-T37)*24*60</f>
        <v>27.999999999999979</v>
      </c>
      <c r="V38" s="134">
        <f t="shared" si="29"/>
        <v>143.99999999999997</v>
      </c>
      <c r="W38" s="125"/>
      <c r="X38" s="125"/>
      <c r="Y38" s="125"/>
      <c r="Z38" s="125"/>
      <c r="AA38" s="575"/>
      <c r="AB38" s="575"/>
      <c r="AC38" s="50"/>
      <c r="AD38" s="27"/>
      <c r="AE38" s="20">
        <f t="shared" si="8"/>
        <v>-108.33333333333303</v>
      </c>
      <c r="AF38" s="128">
        <f t="shared" si="9"/>
        <v>0.95486111111111127</v>
      </c>
      <c r="AG38" s="573"/>
    </row>
    <row r="39" spans="1:33">
      <c r="A39" s="593" t="s">
        <v>519</v>
      </c>
      <c r="B39" s="39" t="s">
        <v>94</v>
      </c>
      <c r="C39" s="574" t="s">
        <v>103</v>
      </c>
      <c r="D39" s="574"/>
      <c r="E39" s="39">
        <v>20.2</v>
      </c>
      <c r="F39" s="135">
        <v>2932</v>
      </c>
      <c r="G39" s="125">
        <f t="shared" si="27"/>
        <v>59226.400000000001</v>
      </c>
      <c r="H39" s="48" t="s">
        <v>126</v>
      </c>
      <c r="I39" s="133">
        <v>15</v>
      </c>
      <c r="J39" s="43">
        <v>2400</v>
      </c>
      <c r="K39" s="18">
        <f t="shared" si="1"/>
        <v>160</v>
      </c>
      <c r="L39" s="133">
        <v>15</v>
      </c>
      <c r="M39" s="19">
        <f t="shared" si="28"/>
        <v>2284.6753246753233</v>
      </c>
      <c r="N39" s="18">
        <f t="shared" si="3"/>
        <v>152.31168831168821</v>
      </c>
      <c r="O39" s="20">
        <f t="shared" si="4"/>
        <v>0</v>
      </c>
      <c r="P39" s="21">
        <f t="shared" si="5"/>
        <v>-7.688311688311785</v>
      </c>
      <c r="Q39" s="128">
        <f t="shared" si="6"/>
        <v>0.95194805194805132</v>
      </c>
      <c r="R39" s="573"/>
      <c r="S39" s="49">
        <v>0.32430555555555551</v>
      </c>
      <c r="T39" s="49">
        <v>0.37777777777777777</v>
      </c>
      <c r="U39" s="125">
        <f t="shared" si="30"/>
        <v>5.9999999999999787</v>
      </c>
      <c r="V39" s="134">
        <f t="shared" si="29"/>
        <v>77.000000000000043</v>
      </c>
      <c r="W39" s="125"/>
      <c r="X39" s="125"/>
      <c r="Y39" s="125"/>
      <c r="Z39" s="125"/>
      <c r="AA39" s="575"/>
      <c r="AB39" s="575"/>
      <c r="AC39" s="50"/>
      <c r="AD39" s="27"/>
      <c r="AE39" s="20">
        <f t="shared" si="8"/>
        <v>-115.32467532467672</v>
      </c>
      <c r="AF39" s="128">
        <f t="shared" si="9"/>
        <v>0.95194805194805132</v>
      </c>
      <c r="AG39" s="573"/>
    </row>
    <row r="40" spans="1:33">
      <c r="A40" s="593" t="s">
        <v>519</v>
      </c>
      <c r="B40" s="39" t="s">
        <v>94</v>
      </c>
      <c r="C40" s="574" t="s">
        <v>102</v>
      </c>
      <c r="D40" s="574"/>
      <c r="E40" s="39">
        <v>34.1</v>
      </c>
      <c r="F40" s="135">
        <v>4100</v>
      </c>
      <c r="G40" s="125">
        <f t="shared" si="27"/>
        <v>139810</v>
      </c>
      <c r="H40" s="48">
        <v>2</v>
      </c>
      <c r="I40" s="133">
        <v>17</v>
      </c>
      <c r="J40" s="43">
        <v>1600</v>
      </c>
      <c r="K40" s="18">
        <f t="shared" si="1"/>
        <v>94.117647058823536</v>
      </c>
      <c r="L40" s="133">
        <v>17</v>
      </c>
      <c r="M40" s="19">
        <f t="shared" si="28"/>
        <v>1527.9503105590063</v>
      </c>
      <c r="N40" s="18">
        <f t="shared" si="3"/>
        <v>89.879430032882723</v>
      </c>
      <c r="O40" s="20">
        <f t="shared" si="4"/>
        <v>0</v>
      </c>
      <c r="P40" s="21">
        <f t="shared" si="5"/>
        <v>-4.2382170259408127</v>
      </c>
      <c r="Q40" s="128">
        <f t="shared" si="6"/>
        <v>0.95496894409937882</v>
      </c>
      <c r="R40" s="573"/>
      <c r="S40" s="49">
        <v>0.38194444444444442</v>
      </c>
      <c r="T40" s="49">
        <v>0.49374999999999997</v>
      </c>
      <c r="U40" s="125">
        <f t="shared" si="30"/>
        <v>5.9999999999999787</v>
      </c>
      <c r="V40" s="134">
        <f t="shared" si="29"/>
        <v>161</v>
      </c>
      <c r="W40" s="25">
        <f>T40</f>
        <v>0.49374999999999997</v>
      </c>
      <c r="X40" s="25">
        <f>S41</f>
        <v>0.53611111111111098</v>
      </c>
      <c r="Y40" s="25"/>
      <c r="Z40" s="25"/>
      <c r="AA40" s="575"/>
      <c r="AB40" s="575"/>
      <c r="AC40" s="50"/>
      <c r="AD40" s="27"/>
      <c r="AE40" s="20">
        <f t="shared" si="8"/>
        <v>-72.049689440993689</v>
      </c>
      <c r="AF40" s="128">
        <f t="shared" si="9"/>
        <v>0.95496894409937894</v>
      </c>
      <c r="AG40" s="573"/>
    </row>
    <row r="41" spans="1:33">
      <c r="A41" s="593" t="s">
        <v>519</v>
      </c>
      <c r="B41" s="39" t="s">
        <v>94</v>
      </c>
      <c r="C41" s="574" t="s">
        <v>102</v>
      </c>
      <c r="D41" s="574"/>
      <c r="E41" s="39">
        <v>34.1</v>
      </c>
      <c r="F41" s="135">
        <v>3177</v>
      </c>
      <c r="G41" s="125">
        <f t="shared" si="27"/>
        <v>108335.70000000001</v>
      </c>
      <c r="H41" s="48" t="s">
        <v>126</v>
      </c>
      <c r="I41" s="133">
        <v>17</v>
      </c>
      <c r="J41" s="43">
        <v>1600</v>
      </c>
      <c r="K41" s="18">
        <f t="shared" si="1"/>
        <v>94.117647058823536</v>
      </c>
      <c r="L41" s="133">
        <v>17</v>
      </c>
      <c r="M41" s="19">
        <f t="shared" si="28"/>
        <v>1524.9599999999996</v>
      </c>
      <c r="N41" s="18">
        <f t="shared" si="3"/>
        <v>89.703529411764677</v>
      </c>
      <c r="O41" s="20">
        <f t="shared" si="4"/>
        <v>0</v>
      </c>
      <c r="P41" s="21">
        <f t="shared" si="5"/>
        <v>-4.414117647058859</v>
      </c>
      <c r="Q41" s="128">
        <f t="shared" si="6"/>
        <v>0.95309999999999961</v>
      </c>
      <c r="R41" s="573"/>
      <c r="S41" s="49">
        <v>0.53611111111111098</v>
      </c>
      <c r="T41" s="49">
        <v>0.62291666666666656</v>
      </c>
      <c r="U41" s="125">
        <f t="shared" si="30"/>
        <v>60.999999999999865</v>
      </c>
      <c r="V41" s="134">
        <f t="shared" si="29"/>
        <v>125.00000000000003</v>
      </c>
      <c r="W41" s="25"/>
      <c r="X41" s="25"/>
      <c r="Y41" s="25"/>
      <c r="Z41" s="25"/>
      <c r="AA41" s="575"/>
      <c r="AB41" s="575"/>
      <c r="AC41" s="50"/>
      <c r="AD41" s="27"/>
      <c r="AE41" s="20">
        <f t="shared" si="8"/>
        <v>-75.040000000000418</v>
      </c>
      <c r="AF41" s="128">
        <f t="shared" si="9"/>
        <v>0.95309999999999973</v>
      </c>
      <c r="AG41" s="573"/>
    </row>
    <row r="42" spans="1:33">
      <c r="A42" s="593" t="s">
        <v>519</v>
      </c>
      <c r="B42" s="39" t="s">
        <v>94</v>
      </c>
      <c r="C42" s="574" t="s">
        <v>100</v>
      </c>
      <c r="D42" s="574"/>
      <c r="E42" s="39">
        <v>24.43</v>
      </c>
      <c r="F42" s="135">
        <v>4263</v>
      </c>
      <c r="G42" s="125">
        <f t="shared" si="27"/>
        <v>104145.09</v>
      </c>
      <c r="H42" s="48" t="s">
        <v>126</v>
      </c>
      <c r="I42" s="133">
        <v>14</v>
      </c>
      <c r="J42" s="43">
        <v>2400</v>
      </c>
      <c r="K42" s="18">
        <f t="shared" si="1"/>
        <v>171.42857142857142</v>
      </c>
      <c r="L42" s="133">
        <v>14</v>
      </c>
      <c r="M42" s="19">
        <f t="shared" si="28"/>
        <v>2283.7500000000018</v>
      </c>
      <c r="N42" s="18">
        <f t="shared" si="3"/>
        <v>163.12500000000014</v>
      </c>
      <c r="O42" s="20">
        <f t="shared" si="4"/>
        <v>0</v>
      </c>
      <c r="P42" s="21">
        <f t="shared" si="5"/>
        <v>-8.3035714285712743</v>
      </c>
      <c r="Q42" s="128">
        <f t="shared" si="6"/>
        <v>0.95156250000000087</v>
      </c>
      <c r="R42" s="573"/>
      <c r="S42" s="49">
        <v>0.62708333333333321</v>
      </c>
      <c r="T42" s="49">
        <v>0.70486111111111094</v>
      </c>
      <c r="U42" s="125">
        <f t="shared" si="30"/>
        <v>5.9999999999999787</v>
      </c>
      <c r="V42" s="134">
        <f t="shared" si="29"/>
        <v>111.99999999999991</v>
      </c>
      <c r="W42" s="25"/>
      <c r="X42" s="25"/>
      <c r="Y42" s="25"/>
      <c r="Z42" s="25"/>
      <c r="AA42" s="575"/>
      <c r="AB42" s="575"/>
      <c r="AC42" s="50"/>
      <c r="AD42" s="27"/>
      <c r="AE42" s="20">
        <f t="shared" si="8"/>
        <v>-116.24999999999818</v>
      </c>
      <c r="AF42" s="128">
        <f t="shared" si="9"/>
        <v>0.95156250000000075</v>
      </c>
      <c r="AG42" s="573"/>
    </row>
    <row r="43" spans="1:33">
      <c r="A43" s="593" t="s">
        <v>519</v>
      </c>
      <c r="B43" s="42" t="s">
        <v>515</v>
      </c>
      <c r="C43" s="576"/>
      <c r="D43" s="576"/>
      <c r="E43" s="132"/>
      <c r="F43" s="42"/>
      <c r="G43" s="18"/>
      <c r="H43" s="135"/>
      <c r="I43" s="32">
        <v>15.833333333333334</v>
      </c>
      <c r="J43" s="43">
        <v>2133.3333333333335</v>
      </c>
      <c r="K43" s="18">
        <f t="shared" si="1"/>
        <v>134.73684210526315</v>
      </c>
      <c r="L43" s="32">
        <v>15.833333333333334</v>
      </c>
      <c r="M43" s="19">
        <f>AVERAGE(M37:M42)</f>
        <v>2033.823855050561</v>
      </c>
      <c r="N43" s="18">
        <f t="shared" si="3"/>
        <v>128.45203295056174</v>
      </c>
      <c r="O43" s="20">
        <f t="shared" si="4"/>
        <v>0</v>
      </c>
      <c r="P43" s="21">
        <f t="shared" si="5"/>
        <v>-6.2848091547014064</v>
      </c>
      <c r="Q43" s="128">
        <f t="shared" si="6"/>
        <v>0.95335493205495048</v>
      </c>
      <c r="R43" s="573"/>
      <c r="S43" s="49"/>
      <c r="T43" s="49"/>
      <c r="U43" s="18"/>
      <c r="V43" s="134"/>
      <c r="W43" s="18"/>
      <c r="X43" s="18"/>
      <c r="Y43" s="33">
        <f>SUM(Y37:Y42)</f>
        <v>0</v>
      </c>
      <c r="Z43" s="33">
        <f>SUM(Z37:Z42)</f>
        <v>0</v>
      </c>
      <c r="AA43" s="572"/>
      <c r="AB43" s="572"/>
      <c r="AC43" s="33">
        <v>6</v>
      </c>
      <c r="AD43" s="33">
        <f>SUM(AD37:AD42)</f>
        <v>0</v>
      </c>
      <c r="AE43" s="20">
        <f t="shared" si="8"/>
        <v>-99.509478282772534</v>
      </c>
      <c r="AF43" s="128">
        <f t="shared" si="9"/>
        <v>0.95335493205495037</v>
      </c>
      <c r="AG43" s="573"/>
    </row>
    <row r="44" spans="1:33" ht="15.75" customHeight="1">
      <c r="A44" s="589" t="s">
        <v>520</v>
      </c>
      <c r="B44" s="39" t="s">
        <v>104</v>
      </c>
      <c r="C44" s="566" t="s">
        <v>105</v>
      </c>
      <c r="D44" s="567"/>
      <c r="E44" s="39">
        <v>37.880000000000003</v>
      </c>
      <c r="F44" s="135">
        <v>3400</v>
      </c>
      <c r="G44" s="125">
        <f t="shared" ref="G44:G47" si="31">E44*F44</f>
        <v>128792.00000000001</v>
      </c>
      <c r="H44" s="48" t="s">
        <v>126</v>
      </c>
      <c r="I44" s="133">
        <v>13</v>
      </c>
      <c r="J44" s="43">
        <v>2000</v>
      </c>
      <c r="K44" s="18">
        <f t="shared" si="1"/>
        <v>153.84615384615384</v>
      </c>
      <c r="L44" s="133">
        <v>13</v>
      </c>
      <c r="M44" s="19">
        <f t="shared" ref="M44:M47" si="32">F44/V44*60</f>
        <v>1906.5420560747664</v>
      </c>
      <c r="N44" s="19">
        <f t="shared" si="3"/>
        <v>146.6570812365205</v>
      </c>
      <c r="O44" s="20">
        <f t="shared" si="4"/>
        <v>0</v>
      </c>
      <c r="P44" s="21">
        <f t="shared" si="5"/>
        <v>-7.1890726096333424</v>
      </c>
      <c r="Q44" s="128">
        <f t="shared" si="6"/>
        <v>0.95327102803738328</v>
      </c>
      <c r="R44" s="584">
        <f>Q48</f>
        <v>0.95321466288577783</v>
      </c>
      <c r="S44" s="49">
        <v>8.3333333333333329E-2</v>
      </c>
      <c r="T44" s="49">
        <v>0.15763888888888888</v>
      </c>
      <c r="U44" s="30"/>
      <c r="V44" s="134">
        <f t="shared" ref="V44:V47" si="33">(T44-S44)*24*60</f>
        <v>107</v>
      </c>
      <c r="W44" s="25">
        <f>T44</f>
        <v>0.15763888888888888</v>
      </c>
      <c r="X44" s="25">
        <f>S45</f>
        <v>0.17638888888888887</v>
      </c>
      <c r="Y44" s="28"/>
      <c r="Z44" s="28"/>
      <c r="AA44" s="568"/>
      <c r="AB44" s="569"/>
      <c r="AC44" s="50">
        <v>4</v>
      </c>
      <c r="AD44" s="27"/>
      <c r="AE44" s="20">
        <f t="shared" si="8"/>
        <v>-93.457943925233621</v>
      </c>
      <c r="AF44" s="128">
        <f t="shared" si="9"/>
        <v>0.95327102803738317</v>
      </c>
      <c r="AG44" s="584">
        <f>AF48</f>
        <v>0.95321466288577783</v>
      </c>
    </row>
    <row r="45" spans="1:33" ht="15.75" customHeight="1">
      <c r="A45" s="590" t="s">
        <v>521</v>
      </c>
      <c r="B45" s="39" t="s">
        <v>104</v>
      </c>
      <c r="C45" s="566" t="s">
        <v>106</v>
      </c>
      <c r="D45" s="567"/>
      <c r="E45" s="39">
        <v>35.119999999999997</v>
      </c>
      <c r="F45" s="135">
        <v>5967</v>
      </c>
      <c r="G45" s="125">
        <f t="shared" si="31"/>
        <v>209561.03999999998</v>
      </c>
      <c r="H45" s="48" t="s">
        <v>126</v>
      </c>
      <c r="I45" s="133">
        <v>10</v>
      </c>
      <c r="J45" s="43">
        <v>3000</v>
      </c>
      <c r="K45" s="18">
        <f t="shared" si="1"/>
        <v>300</v>
      </c>
      <c r="L45" s="133">
        <v>10</v>
      </c>
      <c r="M45" s="19">
        <f t="shared" si="32"/>
        <v>2864.1599999999994</v>
      </c>
      <c r="N45" s="19">
        <f t="shared" si="3"/>
        <v>286.41599999999994</v>
      </c>
      <c r="O45" s="20">
        <f t="shared" si="4"/>
        <v>0</v>
      </c>
      <c r="P45" s="21">
        <f t="shared" si="5"/>
        <v>-13.58400000000006</v>
      </c>
      <c r="Q45" s="128">
        <f t="shared" si="6"/>
        <v>0.95471999999999979</v>
      </c>
      <c r="R45" s="585"/>
      <c r="S45" s="49">
        <v>0.17638888888888887</v>
      </c>
      <c r="T45" s="49">
        <v>0.26319444444444445</v>
      </c>
      <c r="U45" s="125">
        <f t="shared" ref="U45:U47" si="34">(S45-T44)*24*60</f>
        <v>26.999999999999986</v>
      </c>
      <c r="V45" s="134">
        <f t="shared" si="33"/>
        <v>125.00000000000003</v>
      </c>
      <c r="W45" s="25"/>
      <c r="X45" s="25"/>
      <c r="Y45" s="28"/>
      <c r="Z45" s="28"/>
      <c r="AA45" s="568"/>
      <c r="AB45" s="569"/>
      <c r="AC45" s="50"/>
      <c r="AD45" s="27"/>
      <c r="AE45" s="20">
        <f t="shared" si="8"/>
        <v>-135.8400000000006</v>
      </c>
      <c r="AF45" s="128">
        <f t="shared" si="9"/>
        <v>0.95471999999999979</v>
      </c>
      <c r="AG45" s="585"/>
    </row>
    <row r="46" spans="1:33" ht="15.75" customHeight="1">
      <c r="A46" s="590" t="s">
        <v>521</v>
      </c>
      <c r="B46" s="39" t="s">
        <v>104</v>
      </c>
      <c r="C46" s="566" t="s">
        <v>107</v>
      </c>
      <c r="D46" s="567"/>
      <c r="E46" s="39">
        <v>21.13</v>
      </c>
      <c r="F46" s="135">
        <v>5719</v>
      </c>
      <c r="G46" s="125">
        <f t="shared" si="31"/>
        <v>120842.47</v>
      </c>
      <c r="H46" s="48" t="s">
        <v>126</v>
      </c>
      <c r="I46" s="133">
        <v>10</v>
      </c>
      <c r="J46" s="43">
        <v>3000</v>
      </c>
      <c r="K46" s="18">
        <f t="shared" si="1"/>
        <v>300</v>
      </c>
      <c r="L46" s="133">
        <v>10</v>
      </c>
      <c r="M46" s="19">
        <f t="shared" si="32"/>
        <v>2859.5000000000009</v>
      </c>
      <c r="N46" s="19">
        <f t="shared" si="3"/>
        <v>285.9500000000001</v>
      </c>
      <c r="O46" s="20">
        <f t="shared" si="4"/>
        <v>0</v>
      </c>
      <c r="P46" s="21">
        <f t="shared" si="5"/>
        <v>-14.049999999999898</v>
      </c>
      <c r="Q46" s="128">
        <f t="shared" si="6"/>
        <v>0.95316666666666705</v>
      </c>
      <c r="R46" s="585"/>
      <c r="S46" s="49">
        <v>0.26874999999999999</v>
      </c>
      <c r="T46" s="49">
        <v>0.3520833333333333</v>
      </c>
      <c r="U46" s="125">
        <f t="shared" si="34"/>
        <v>7.9999999999999716</v>
      </c>
      <c r="V46" s="134">
        <f t="shared" si="33"/>
        <v>119.99999999999997</v>
      </c>
      <c r="W46" s="25"/>
      <c r="X46" s="25"/>
      <c r="Y46" s="28"/>
      <c r="Z46" s="28"/>
      <c r="AA46" s="568"/>
      <c r="AB46" s="569"/>
      <c r="AC46" s="50"/>
      <c r="AD46" s="27"/>
      <c r="AE46" s="20">
        <f t="shared" si="8"/>
        <v>-140.49999999999909</v>
      </c>
      <c r="AF46" s="128">
        <f t="shared" si="9"/>
        <v>0.95316666666666694</v>
      </c>
      <c r="AG46" s="585"/>
    </row>
    <row r="47" spans="1:33" ht="15.75" customHeight="1">
      <c r="A47" s="590" t="s">
        <v>521</v>
      </c>
      <c r="B47" s="39" t="s">
        <v>104</v>
      </c>
      <c r="C47" s="566" t="s">
        <v>108</v>
      </c>
      <c r="D47" s="567"/>
      <c r="E47" s="39">
        <v>27.17</v>
      </c>
      <c r="F47" s="135">
        <v>7471</v>
      </c>
      <c r="G47" s="125">
        <f t="shared" si="31"/>
        <v>202987.07</v>
      </c>
      <c r="H47" s="48" t="s">
        <v>126</v>
      </c>
      <c r="I47" s="133">
        <v>10</v>
      </c>
      <c r="J47" s="43">
        <v>3000</v>
      </c>
      <c r="K47" s="18">
        <f t="shared" si="1"/>
        <v>300</v>
      </c>
      <c r="L47" s="133">
        <v>10</v>
      </c>
      <c r="M47" s="19">
        <f t="shared" si="32"/>
        <v>2855.1592356687897</v>
      </c>
      <c r="N47" s="19">
        <f t="shared" si="3"/>
        <v>285.515923566879</v>
      </c>
      <c r="O47" s="20">
        <f t="shared" si="4"/>
        <v>0</v>
      </c>
      <c r="P47" s="21">
        <f t="shared" si="5"/>
        <v>-14.484076433121004</v>
      </c>
      <c r="Q47" s="128">
        <f t="shared" si="6"/>
        <v>0.95171974522293001</v>
      </c>
      <c r="R47" s="585"/>
      <c r="S47" s="49">
        <v>0.35763888888888884</v>
      </c>
      <c r="T47" s="49">
        <v>0.46666666666666662</v>
      </c>
      <c r="U47" s="125">
        <f t="shared" si="34"/>
        <v>7.9999999999999716</v>
      </c>
      <c r="V47" s="134">
        <f t="shared" si="33"/>
        <v>157</v>
      </c>
      <c r="W47" s="25"/>
      <c r="X47" s="25"/>
      <c r="Y47" s="28"/>
      <c r="Z47" s="28"/>
      <c r="AA47" s="568"/>
      <c r="AB47" s="569"/>
      <c r="AC47" s="50"/>
      <c r="AD47" s="27"/>
      <c r="AE47" s="20">
        <f t="shared" si="8"/>
        <v>-144.84076433121027</v>
      </c>
      <c r="AF47" s="128">
        <f t="shared" si="9"/>
        <v>0.9517197452229299</v>
      </c>
      <c r="AG47" s="585"/>
    </row>
    <row r="48" spans="1:33" ht="15.75" customHeight="1">
      <c r="A48" s="591" t="s">
        <v>521</v>
      </c>
      <c r="B48" s="39" t="s">
        <v>522</v>
      </c>
      <c r="C48" s="570"/>
      <c r="D48" s="571"/>
      <c r="E48" s="126"/>
      <c r="F48" s="135"/>
      <c r="G48" s="125"/>
      <c r="H48" s="135"/>
      <c r="I48" s="32">
        <v>10.75</v>
      </c>
      <c r="J48" s="43">
        <v>2750</v>
      </c>
      <c r="K48" s="18">
        <f t="shared" si="1"/>
        <v>255.81395348837211</v>
      </c>
      <c r="L48" s="32">
        <v>10.75</v>
      </c>
      <c r="M48" s="19">
        <f>AVERAGE(M44:M47)</f>
        <v>2621.3403229358892</v>
      </c>
      <c r="N48" s="18">
        <f t="shared" si="3"/>
        <v>243.84561143589667</v>
      </c>
      <c r="O48" s="20">
        <f t="shared" si="4"/>
        <v>0</v>
      </c>
      <c r="P48" s="21">
        <f t="shared" si="5"/>
        <v>-11.968342052475435</v>
      </c>
      <c r="Q48" s="128">
        <f t="shared" si="6"/>
        <v>0.95321466288577783</v>
      </c>
      <c r="R48" s="586"/>
      <c r="S48" s="49"/>
      <c r="T48" s="49"/>
      <c r="U48" s="125"/>
      <c r="V48" s="134"/>
      <c r="W48" s="25"/>
      <c r="X48" s="25"/>
      <c r="Y48" s="33">
        <f>SUM(Y44:Y47)</f>
        <v>0</v>
      </c>
      <c r="Z48" s="33">
        <f>SUM(Z44:Z47)</f>
        <v>0</v>
      </c>
      <c r="AA48" s="587"/>
      <c r="AB48" s="588"/>
      <c r="AC48" s="33">
        <v>4</v>
      </c>
      <c r="AD48" s="33">
        <f>SUM(AD44:AD47)</f>
        <v>0</v>
      </c>
      <c r="AE48" s="20">
        <f t="shared" si="8"/>
        <v>-128.65967706411084</v>
      </c>
      <c r="AF48" s="128">
        <f t="shared" si="9"/>
        <v>0.95321466288577783</v>
      </c>
      <c r="AG48" s="586"/>
    </row>
    <row r="49" spans="1:33" ht="15.75" customHeight="1">
      <c r="A49" s="582" t="s">
        <v>523</v>
      </c>
      <c r="B49" s="39" t="s">
        <v>79</v>
      </c>
      <c r="C49" s="574" t="s">
        <v>109</v>
      </c>
      <c r="D49" s="574"/>
      <c r="E49" s="39">
        <v>46</v>
      </c>
      <c r="F49" s="45">
        <v>2637</v>
      </c>
      <c r="G49" s="125">
        <f t="shared" ref="G49:G55" si="35">E49*F49</f>
        <v>121302</v>
      </c>
      <c r="H49" s="48" t="s">
        <v>126</v>
      </c>
      <c r="I49" s="133">
        <v>17</v>
      </c>
      <c r="J49" s="43">
        <v>2000</v>
      </c>
      <c r="K49" s="18">
        <f t="shared" si="1"/>
        <v>117.64705882352941</v>
      </c>
      <c r="L49" s="133">
        <v>17</v>
      </c>
      <c r="M49" s="19">
        <f t="shared" ref="M49" si="36">F49/V49*60</f>
        <v>1906.2650602409642</v>
      </c>
      <c r="N49" s="19">
        <f t="shared" si="3"/>
        <v>112.13323883770377</v>
      </c>
      <c r="O49" s="20">
        <f t="shared" si="4"/>
        <v>0</v>
      </c>
      <c r="P49" s="21">
        <f t="shared" si="5"/>
        <v>-5.5138199858256343</v>
      </c>
      <c r="Q49" s="128">
        <f t="shared" si="6"/>
        <v>0.95313253012048216</v>
      </c>
      <c r="R49" s="573">
        <f>Q56</f>
        <v>0.95679323311661046</v>
      </c>
      <c r="S49" s="49">
        <v>0.20833333333333334</v>
      </c>
      <c r="T49" s="49">
        <v>0.26597222222222222</v>
      </c>
      <c r="U49" s="30"/>
      <c r="V49" s="134">
        <f t="shared" ref="V49:V55" si="37">(T49-S49)*24*60</f>
        <v>82.999999999999986</v>
      </c>
      <c r="W49" s="30"/>
      <c r="X49" s="30"/>
      <c r="Y49" s="30"/>
      <c r="Z49" s="30"/>
      <c r="AA49" s="575"/>
      <c r="AB49" s="575"/>
      <c r="AC49" s="50">
        <v>7</v>
      </c>
      <c r="AD49" s="27"/>
      <c r="AE49" s="20">
        <f t="shared" si="8"/>
        <v>-93.734939759035797</v>
      </c>
      <c r="AF49" s="128">
        <f t="shared" si="9"/>
        <v>0.95313253012048205</v>
      </c>
      <c r="AG49" s="573">
        <f>AF56</f>
        <v>0.95679323311661046</v>
      </c>
    </row>
    <row r="50" spans="1:33" ht="15.75" customHeight="1">
      <c r="A50" s="582" t="s">
        <v>523</v>
      </c>
      <c r="B50" s="39" t="s">
        <v>74</v>
      </c>
      <c r="C50" s="574" t="s">
        <v>110</v>
      </c>
      <c r="D50" s="574"/>
      <c r="E50" s="39">
        <v>56.43</v>
      </c>
      <c r="F50" s="45">
        <v>1700</v>
      </c>
      <c r="G50" s="125">
        <f t="shared" si="35"/>
        <v>95931</v>
      </c>
      <c r="H50" s="48" t="s">
        <v>126</v>
      </c>
      <c r="I50" s="133">
        <v>22</v>
      </c>
      <c r="J50" s="43">
        <v>2000</v>
      </c>
      <c r="K50" s="18">
        <f t="shared" si="1"/>
        <v>90.909090909090907</v>
      </c>
      <c r="L50" s="133">
        <v>22</v>
      </c>
      <c r="M50" s="19">
        <f>F50/V50*60</f>
        <v>1924.5283018867935</v>
      </c>
      <c r="N50" s="19">
        <f t="shared" si="3"/>
        <v>87.478559176672434</v>
      </c>
      <c r="O50" s="20">
        <f t="shared" si="4"/>
        <v>0</v>
      </c>
      <c r="P50" s="21">
        <f t="shared" si="5"/>
        <v>-3.4305317324184728</v>
      </c>
      <c r="Q50" s="128">
        <f t="shared" si="6"/>
        <v>0.96226415094339679</v>
      </c>
      <c r="R50" s="573"/>
      <c r="S50" s="49">
        <v>0.27152777777777776</v>
      </c>
      <c r="T50" s="49">
        <v>0.30833333333333329</v>
      </c>
      <c r="U50" s="125">
        <f t="shared" ref="U50:U55" si="38">IF(S50=TIME(17,0,0),"",(S50-T49)*24*60)</f>
        <v>7.9999999999999716</v>
      </c>
      <c r="V50" s="134">
        <f t="shared" si="37"/>
        <v>52.999999999999972</v>
      </c>
      <c r="W50" s="25"/>
      <c r="X50" s="25"/>
      <c r="Y50" s="25"/>
      <c r="Z50" s="25"/>
      <c r="AA50" s="575"/>
      <c r="AB50" s="575"/>
      <c r="AC50" s="50"/>
      <c r="AD50" s="27"/>
      <c r="AE50" s="20">
        <f t="shared" si="8"/>
        <v>-75.471698113206457</v>
      </c>
      <c r="AF50" s="128">
        <f t="shared" si="9"/>
        <v>0.96226415094339679</v>
      </c>
      <c r="AG50" s="573"/>
    </row>
    <row r="51" spans="1:33" ht="15.75" customHeight="1">
      <c r="A51" s="582" t="s">
        <v>523</v>
      </c>
      <c r="B51" s="39" t="s">
        <v>74</v>
      </c>
      <c r="C51" s="566" t="s">
        <v>111</v>
      </c>
      <c r="D51" s="567"/>
      <c r="E51" s="39">
        <v>51.75</v>
      </c>
      <c r="F51" s="45">
        <v>1016</v>
      </c>
      <c r="G51" s="125">
        <f t="shared" si="35"/>
        <v>52578</v>
      </c>
      <c r="H51" s="48" t="s">
        <v>126</v>
      </c>
      <c r="I51" s="133">
        <v>25</v>
      </c>
      <c r="J51" s="43">
        <v>2000</v>
      </c>
      <c r="K51" s="18">
        <f t="shared" si="1"/>
        <v>80</v>
      </c>
      <c r="L51" s="133">
        <v>25</v>
      </c>
      <c r="M51" s="19">
        <f t="shared" ref="M51:M55" si="39">F51/V51*60</f>
        <v>1905.000000000002</v>
      </c>
      <c r="N51" s="19">
        <f t="shared" si="3"/>
        <v>76.200000000000088</v>
      </c>
      <c r="O51" s="20">
        <f t="shared" si="4"/>
        <v>0</v>
      </c>
      <c r="P51" s="21">
        <f t="shared" si="5"/>
        <v>-3.7999999999999119</v>
      </c>
      <c r="Q51" s="128">
        <f t="shared" si="6"/>
        <v>0.95250000000000112</v>
      </c>
      <c r="R51" s="573"/>
      <c r="S51" s="49">
        <v>0.3118055555555555</v>
      </c>
      <c r="T51" s="49">
        <v>0.3340277777777777</v>
      </c>
      <c r="U51" s="125">
        <f t="shared" si="38"/>
        <v>4.9999999999999822</v>
      </c>
      <c r="V51" s="134">
        <f t="shared" si="37"/>
        <v>31.999999999999964</v>
      </c>
      <c r="W51" s="25"/>
      <c r="X51" s="25"/>
      <c r="Y51" s="28"/>
      <c r="Z51" s="28"/>
      <c r="AA51" s="575"/>
      <c r="AB51" s="575"/>
      <c r="AC51" s="50"/>
      <c r="AD51" s="27"/>
      <c r="AE51" s="20">
        <f t="shared" si="8"/>
        <v>-94.999999999997954</v>
      </c>
      <c r="AF51" s="128">
        <f t="shared" si="9"/>
        <v>0.95250000000000101</v>
      </c>
      <c r="AG51" s="573"/>
    </row>
    <row r="52" spans="1:33" ht="15.75" customHeight="1">
      <c r="A52" s="582" t="s">
        <v>523</v>
      </c>
      <c r="B52" s="39" t="s">
        <v>74</v>
      </c>
      <c r="C52" s="129" t="s">
        <v>88</v>
      </c>
      <c r="D52" s="130"/>
      <c r="E52" s="39">
        <v>59.04</v>
      </c>
      <c r="F52" s="45">
        <v>6828</v>
      </c>
      <c r="G52" s="125">
        <f t="shared" si="35"/>
        <v>403125.12</v>
      </c>
      <c r="H52" s="48" t="s">
        <v>126</v>
      </c>
      <c r="I52" s="133">
        <v>19</v>
      </c>
      <c r="J52" s="43">
        <v>2000</v>
      </c>
      <c r="K52" s="18">
        <f t="shared" si="1"/>
        <v>105.26315789473684</v>
      </c>
      <c r="L52" s="133">
        <v>19</v>
      </c>
      <c r="M52" s="19">
        <f t="shared" si="39"/>
        <v>1905.4883720930231</v>
      </c>
      <c r="N52" s="19">
        <f t="shared" si="3"/>
        <v>100.28886168910648</v>
      </c>
      <c r="O52" s="20">
        <f t="shared" si="4"/>
        <v>0</v>
      </c>
      <c r="P52" s="21">
        <f t="shared" si="5"/>
        <v>-4.9742962056303526</v>
      </c>
      <c r="Q52" s="128">
        <f t="shared" si="6"/>
        <v>0.95274418604651168</v>
      </c>
      <c r="R52" s="573"/>
      <c r="S52" s="49">
        <v>0.33749999999999991</v>
      </c>
      <c r="T52" s="49">
        <v>0.48680555555555549</v>
      </c>
      <c r="U52" s="125">
        <f t="shared" si="38"/>
        <v>4.9999999999999822</v>
      </c>
      <c r="V52" s="134">
        <f t="shared" si="37"/>
        <v>215.00000000000003</v>
      </c>
      <c r="W52" s="25"/>
      <c r="X52" s="25"/>
      <c r="Y52" s="28"/>
      <c r="Z52" s="28"/>
      <c r="AA52" s="575"/>
      <c r="AB52" s="575"/>
      <c r="AC52" s="50"/>
      <c r="AD52" s="27"/>
      <c r="AE52" s="20">
        <f t="shared" si="8"/>
        <v>-94.511627906976855</v>
      </c>
      <c r="AF52" s="128">
        <f t="shared" si="9"/>
        <v>0.95274418604651157</v>
      </c>
      <c r="AG52" s="573"/>
    </row>
    <row r="53" spans="1:33" ht="15.75" customHeight="1">
      <c r="A53" s="582" t="s">
        <v>523</v>
      </c>
      <c r="B53" s="39" t="s">
        <v>74</v>
      </c>
      <c r="C53" s="129" t="s">
        <v>112</v>
      </c>
      <c r="D53" s="130"/>
      <c r="E53" s="39">
        <v>55.32</v>
      </c>
      <c r="F53" s="45">
        <v>1629</v>
      </c>
      <c r="G53" s="125">
        <f t="shared" si="35"/>
        <v>90116.28</v>
      </c>
      <c r="H53" s="48" t="s">
        <v>126</v>
      </c>
      <c r="I53" s="133">
        <v>15</v>
      </c>
      <c r="J53" s="43">
        <v>2000</v>
      </c>
      <c r="K53" s="18">
        <f t="shared" si="1"/>
        <v>133.33333333333334</v>
      </c>
      <c r="L53" s="133">
        <v>15</v>
      </c>
      <c r="M53" s="19">
        <f t="shared" si="39"/>
        <v>1916.4705882352951</v>
      </c>
      <c r="N53" s="19">
        <f t="shared" si="3"/>
        <v>127.764705882353</v>
      </c>
      <c r="O53" s="20">
        <f t="shared" si="4"/>
        <v>0</v>
      </c>
      <c r="P53" s="21">
        <f t="shared" si="5"/>
        <v>-5.568627450980344</v>
      </c>
      <c r="Q53" s="128">
        <f t="shared" si="6"/>
        <v>0.95823529411764741</v>
      </c>
      <c r="R53" s="573"/>
      <c r="S53" s="49">
        <v>0.70833333333333337</v>
      </c>
      <c r="T53" s="49">
        <v>0.74375000000000002</v>
      </c>
      <c r="U53" s="125" t="str">
        <f t="shared" si="38"/>
        <v/>
      </c>
      <c r="V53" s="134">
        <f t="shared" si="37"/>
        <v>50.999999999999979</v>
      </c>
      <c r="W53" s="25"/>
      <c r="X53" s="25"/>
      <c r="Y53" s="28"/>
      <c r="Z53" s="28"/>
      <c r="AA53" s="575"/>
      <c r="AB53" s="575"/>
      <c r="AC53" s="50"/>
      <c r="AD53" s="27"/>
      <c r="AE53" s="20">
        <f t="shared" si="8"/>
        <v>-83.529411764704946</v>
      </c>
      <c r="AF53" s="128">
        <f t="shared" si="9"/>
        <v>0.95823529411764752</v>
      </c>
      <c r="AG53" s="573"/>
    </row>
    <row r="54" spans="1:33" ht="15.75" customHeight="1">
      <c r="A54" s="582" t="s">
        <v>523</v>
      </c>
      <c r="B54" s="39" t="s">
        <v>74</v>
      </c>
      <c r="C54" s="566" t="s">
        <v>113</v>
      </c>
      <c r="D54" s="567"/>
      <c r="E54" s="39">
        <v>55.56</v>
      </c>
      <c r="F54" s="45">
        <v>2181</v>
      </c>
      <c r="G54" s="125">
        <f t="shared" si="35"/>
        <v>121176.36</v>
      </c>
      <c r="H54" s="48" t="s">
        <v>126</v>
      </c>
      <c r="I54" s="133">
        <v>17</v>
      </c>
      <c r="J54" s="43">
        <v>2000</v>
      </c>
      <c r="K54" s="18">
        <f t="shared" si="1"/>
        <v>117.64705882352941</v>
      </c>
      <c r="L54" s="133">
        <v>17</v>
      </c>
      <c r="M54" s="19">
        <f t="shared" si="39"/>
        <v>1924.4117647058847</v>
      </c>
      <c r="N54" s="19">
        <f t="shared" si="3"/>
        <v>113.20069204152263</v>
      </c>
      <c r="O54" s="20">
        <f t="shared" si="4"/>
        <v>0</v>
      </c>
      <c r="P54" s="21">
        <f t="shared" si="5"/>
        <v>-4.4463667820067769</v>
      </c>
      <c r="Q54" s="128">
        <f t="shared" si="6"/>
        <v>0.96220588235294235</v>
      </c>
      <c r="R54" s="573"/>
      <c r="S54" s="49">
        <v>0.74930555555555556</v>
      </c>
      <c r="T54" s="49">
        <v>0.79652777777777772</v>
      </c>
      <c r="U54" s="125">
        <f t="shared" si="38"/>
        <v>7.9999999999999716</v>
      </c>
      <c r="V54" s="134">
        <f t="shared" si="37"/>
        <v>67.999999999999915</v>
      </c>
      <c r="W54" s="25"/>
      <c r="X54" s="25"/>
      <c r="Y54" s="28"/>
      <c r="Z54" s="28"/>
      <c r="AA54" s="568"/>
      <c r="AB54" s="569"/>
      <c r="AC54" s="50"/>
      <c r="AD54" s="27"/>
      <c r="AE54" s="20">
        <f t="shared" si="8"/>
        <v>-75.588235294115293</v>
      </c>
      <c r="AF54" s="128">
        <f t="shared" si="9"/>
        <v>0.96220588235294235</v>
      </c>
      <c r="AG54" s="573"/>
    </row>
    <row r="55" spans="1:33" ht="15.75" customHeight="1">
      <c r="A55" s="582" t="s">
        <v>523</v>
      </c>
      <c r="B55" s="39" t="s">
        <v>74</v>
      </c>
      <c r="C55" s="566" t="s">
        <v>114</v>
      </c>
      <c r="D55" s="567"/>
      <c r="E55" s="39">
        <v>54.29</v>
      </c>
      <c r="F55" s="45">
        <v>1084</v>
      </c>
      <c r="G55" s="125">
        <f t="shared" si="35"/>
        <v>58850.36</v>
      </c>
      <c r="H55" s="48" t="s">
        <v>126</v>
      </c>
      <c r="I55" s="133">
        <v>20</v>
      </c>
      <c r="J55" s="43">
        <v>2000</v>
      </c>
      <c r="K55" s="18">
        <f t="shared" si="1"/>
        <v>100</v>
      </c>
      <c r="L55" s="133">
        <v>20</v>
      </c>
      <c r="M55" s="19">
        <f t="shared" si="39"/>
        <v>1912.941176470586</v>
      </c>
      <c r="N55" s="19">
        <f t="shared" si="3"/>
        <v>95.647058823529306</v>
      </c>
      <c r="O55" s="20">
        <f t="shared" si="4"/>
        <v>0</v>
      </c>
      <c r="P55" s="21">
        <f t="shared" si="5"/>
        <v>-4.3529411764706936</v>
      </c>
      <c r="Q55" s="128">
        <f t="shared" si="6"/>
        <v>0.95647058823529307</v>
      </c>
      <c r="R55" s="573"/>
      <c r="S55" s="49">
        <v>0.80138888888888882</v>
      </c>
      <c r="T55" s="49">
        <v>0.82499999999999996</v>
      </c>
      <c r="U55" s="125">
        <f t="shared" si="38"/>
        <v>6.9999999999999751</v>
      </c>
      <c r="V55" s="134">
        <f t="shared" si="37"/>
        <v>34.000000000000043</v>
      </c>
      <c r="W55" s="25"/>
      <c r="X55" s="25"/>
      <c r="Y55" s="28"/>
      <c r="Z55" s="28"/>
      <c r="AA55" s="568"/>
      <c r="AB55" s="569"/>
      <c r="AC55" s="50"/>
      <c r="AD55" s="27"/>
      <c r="AE55" s="20">
        <f t="shared" si="8"/>
        <v>-87.058823529413985</v>
      </c>
      <c r="AF55" s="128">
        <f t="shared" si="9"/>
        <v>0.95647058823529296</v>
      </c>
      <c r="AG55" s="573"/>
    </row>
    <row r="56" spans="1:33">
      <c r="A56" s="583" t="s">
        <v>523</v>
      </c>
      <c r="B56" s="39" t="s">
        <v>522</v>
      </c>
      <c r="C56" s="576"/>
      <c r="D56" s="576"/>
      <c r="E56" s="132"/>
      <c r="F56" s="42"/>
      <c r="G56" s="18"/>
      <c r="H56" s="135"/>
      <c r="I56" s="32">
        <v>19.285714285714285</v>
      </c>
      <c r="J56" s="43">
        <v>2000</v>
      </c>
      <c r="K56" s="18">
        <f t="shared" si="1"/>
        <v>103.70370370370371</v>
      </c>
      <c r="L56" s="32">
        <v>19.285714285714285</v>
      </c>
      <c r="M56" s="19">
        <f>AVERAGE(M49:M55)</f>
        <v>1913.586466233221</v>
      </c>
      <c r="N56" s="18">
        <f t="shared" si="3"/>
        <v>99.223001952833684</v>
      </c>
      <c r="O56" s="20">
        <f t="shared" si="4"/>
        <v>0</v>
      </c>
      <c r="P56" s="21">
        <f t="shared" si="5"/>
        <v>-4.4807017508700255</v>
      </c>
      <c r="Q56" s="128">
        <f t="shared" si="6"/>
        <v>0.95679323311661046</v>
      </c>
      <c r="R56" s="573"/>
      <c r="S56" s="49"/>
      <c r="T56" s="49"/>
      <c r="U56" s="125"/>
      <c r="V56" s="134"/>
      <c r="W56" s="18"/>
      <c r="X56" s="18"/>
      <c r="Y56" s="33">
        <f>SUM(Y49:Y55)</f>
        <v>0</v>
      </c>
      <c r="Z56" s="33">
        <f>SUM(Z49:Z55)</f>
        <v>0</v>
      </c>
      <c r="AA56" s="572"/>
      <c r="AB56" s="572"/>
      <c r="AC56" s="33">
        <v>7</v>
      </c>
      <c r="AD56" s="33">
        <f>SUM(AD49:AD55)</f>
        <v>0</v>
      </c>
      <c r="AE56" s="20">
        <f>M56-J56</f>
        <v>-86.413533766778983</v>
      </c>
      <c r="AF56" s="128">
        <f t="shared" si="9"/>
        <v>0.95679323311661046</v>
      </c>
      <c r="AG56" s="573"/>
    </row>
    <row r="57" spans="1:33" ht="15.75" customHeight="1">
      <c r="A57" s="580" t="s">
        <v>524</v>
      </c>
      <c r="B57" s="135" t="s">
        <v>104</v>
      </c>
      <c r="C57" s="574" t="s">
        <v>115</v>
      </c>
      <c r="D57" s="574"/>
      <c r="E57" s="39">
        <v>34.36</v>
      </c>
      <c r="F57" s="45">
        <v>2395</v>
      </c>
      <c r="G57" s="125">
        <f t="shared" ref="G57:G62" si="40">E57*F57</f>
        <v>82292.2</v>
      </c>
      <c r="H57" s="48" t="s">
        <v>126</v>
      </c>
      <c r="I57" s="133">
        <v>10</v>
      </c>
      <c r="J57" s="43">
        <v>3000</v>
      </c>
      <c r="K57" s="18">
        <f t="shared" si="1"/>
        <v>300</v>
      </c>
      <c r="L57" s="133">
        <v>10</v>
      </c>
      <c r="M57" s="19">
        <f t="shared" ref="M57:M62" si="41">F57/V57*60</f>
        <v>2873.9999999999986</v>
      </c>
      <c r="N57" s="18">
        <f t="shared" si="3"/>
        <v>287.39999999999986</v>
      </c>
      <c r="O57" s="20">
        <f t="shared" si="4"/>
        <v>0</v>
      </c>
      <c r="P57" s="21">
        <f t="shared" si="5"/>
        <v>-12.600000000000136</v>
      </c>
      <c r="Q57" s="128">
        <f t="shared" si="6"/>
        <v>0.95799999999999952</v>
      </c>
      <c r="R57" s="573">
        <f>Q63</f>
        <v>0.95917255319808503</v>
      </c>
      <c r="S57" s="49">
        <v>0.20833333333333334</v>
      </c>
      <c r="T57" s="49">
        <v>0.24305555555555558</v>
      </c>
      <c r="U57" s="125"/>
      <c r="V57" s="134">
        <f t="shared" ref="V57:V62" si="42">(T57-S57)*24*60</f>
        <v>50.000000000000021</v>
      </c>
      <c r="W57" s="30"/>
      <c r="X57" s="30"/>
      <c r="Y57" s="30"/>
      <c r="Z57" s="30"/>
      <c r="AA57" s="575"/>
      <c r="AB57" s="575"/>
      <c r="AC57" s="50">
        <v>6</v>
      </c>
      <c r="AD57" s="27"/>
      <c r="AE57" s="20">
        <f t="shared" ref="AE57:AE69" si="43">M57-J57</f>
        <v>-126.00000000000136</v>
      </c>
      <c r="AF57" s="128">
        <f t="shared" si="9"/>
        <v>0.95799999999999952</v>
      </c>
      <c r="AG57" s="573">
        <f>AF63</f>
        <v>0.95917255319808514</v>
      </c>
    </row>
    <row r="58" spans="1:33" ht="15.75" customHeight="1">
      <c r="A58" s="580" t="s">
        <v>524</v>
      </c>
      <c r="B58" s="135" t="s">
        <v>104</v>
      </c>
      <c r="C58" s="574" t="s">
        <v>116</v>
      </c>
      <c r="D58" s="574"/>
      <c r="E58" s="39">
        <v>34.36</v>
      </c>
      <c r="F58" s="45">
        <v>1393</v>
      </c>
      <c r="G58" s="125">
        <f t="shared" si="40"/>
        <v>47863.479999999996</v>
      </c>
      <c r="H58" s="48" t="s">
        <v>126</v>
      </c>
      <c r="I58" s="133">
        <v>10</v>
      </c>
      <c r="J58" s="43">
        <v>3000</v>
      </c>
      <c r="K58" s="18">
        <f t="shared" si="1"/>
        <v>300</v>
      </c>
      <c r="L58" s="133">
        <v>10</v>
      </c>
      <c r="M58" s="19">
        <f t="shared" si="41"/>
        <v>2882.0689655172437</v>
      </c>
      <c r="N58" s="18">
        <f t="shared" si="3"/>
        <v>288.20689655172436</v>
      </c>
      <c r="O58" s="20">
        <f t="shared" si="4"/>
        <v>0</v>
      </c>
      <c r="P58" s="21">
        <f t="shared" si="5"/>
        <v>-11.793103448275644</v>
      </c>
      <c r="Q58" s="128">
        <f t="shared" si="6"/>
        <v>0.96068965517241456</v>
      </c>
      <c r="R58" s="573"/>
      <c r="S58" s="49">
        <v>0.24652777777777779</v>
      </c>
      <c r="T58" s="49">
        <v>0.26666666666666666</v>
      </c>
      <c r="U58" s="125">
        <f t="shared" ref="U58:U62" si="44">(S58-T57)*24*60</f>
        <v>4.9999999999999822</v>
      </c>
      <c r="V58" s="134">
        <f t="shared" si="42"/>
        <v>28.999999999999979</v>
      </c>
      <c r="W58" s="125"/>
      <c r="X58" s="125"/>
      <c r="Y58" s="125"/>
      <c r="Z58" s="125"/>
      <c r="AA58" s="575"/>
      <c r="AB58" s="575"/>
      <c r="AC58" s="50"/>
      <c r="AD58" s="27"/>
      <c r="AE58" s="20">
        <f t="shared" si="43"/>
        <v>-117.93103448275633</v>
      </c>
      <c r="AF58" s="128">
        <f t="shared" si="9"/>
        <v>0.96068965517241456</v>
      </c>
      <c r="AG58" s="573"/>
    </row>
    <row r="59" spans="1:33" ht="15.75" customHeight="1">
      <c r="A59" s="580" t="s">
        <v>524</v>
      </c>
      <c r="B59" s="135" t="s">
        <v>104</v>
      </c>
      <c r="C59" s="574" t="s">
        <v>117</v>
      </c>
      <c r="D59" s="574"/>
      <c r="E59" s="39">
        <v>26.78</v>
      </c>
      <c r="F59" s="45">
        <v>2681</v>
      </c>
      <c r="G59" s="125">
        <f t="shared" si="40"/>
        <v>71797.180000000008</v>
      </c>
      <c r="H59" s="48" t="s">
        <v>126</v>
      </c>
      <c r="I59" s="133">
        <v>10</v>
      </c>
      <c r="J59" s="43">
        <v>3000</v>
      </c>
      <c r="K59" s="18">
        <f t="shared" si="1"/>
        <v>300</v>
      </c>
      <c r="L59" s="133">
        <v>10</v>
      </c>
      <c r="M59" s="19">
        <f t="shared" si="41"/>
        <v>2872.4999999999977</v>
      </c>
      <c r="N59" s="18">
        <f t="shared" si="3"/>
        <v>287.24999999999977</v>
      </c>
      <c r="O59" s="20">
        <f t="shared" si="4"/>
        <v>0</v>
      </c>
      <c r="P59" s="21">
        <f t="shared" si="5"/>
        <v>-12.750000000000227</v>
      </c>
      <c r="Q59" s="128">
        <f t="shared" si="6"/>
        <v>0.95749999999999924</v>
      </c>
      <c r="R59" s="573"/>
      <c r="S59" s="49">
        <v>0.2722222222222222</v>
      </c>
      <c r="T59" s="49">
        <v>0.31111111111111112</v>
      </c>
      <c r="U59" s="125">
        <f t="shared" si="44"/>
        <v>7.9999999999999716</v>
      </c>
      <c r="V59" s="134">
        <f t="shared" si="42"/>
        <v>56.000000000000043</v>
      </c>
      <c r="W59" s="125"/>
      <c r="X59" s="125"/>
      <c r="Y59" s="125"/>
      <c r="Z59" s="125"/>
      <c r="AA59" s="575"/>
      <c r="AB59" s="575"/>
      <c r="AC59" s="50"/>
      <c r="AD59" s="27"/>
      <c r="AE59" s="20">
        <f t="shared" si="43"/>
        <v>-127.50000000000227</v>
      </c>
      <c r="AF59" s="128">
        <f t="shared" si="9"/>
        <v>0.95749999999999924</v>
      </c>
      <c r="AG59" s="573"/>
    </row>
    <row r="60" spans="1:33" ht="15.75" customHeight="1">
      <c r="A60" s="580" t="s">
        <v>524</v>
      </c>
      <c r="B60" s="135" t="s">
        <v>104</v>
      </c>
      <c r="C60" s="574" t="s">
        <v>118</v>
      </c>
      <c r="D60" s="574"/>
      <c r="E60" s="39">
        <v>37.880000000000003</v>
      </c>
      <c r="F60" s="45">
        <v>1991</v>
      </c>
      <c r="G60" s="125">
        <f t="shared" si="40"/>
        <v>75419.08</v>
      </c>
      <c r="H60" s="48" t="s">
        <v>126</v>
      </c>
      <c r="I60" s="133">
        <v>10</v>
      </c>
      <c r="J60" s="43">
        <v>3000</v>
      </c>
      <c r="K60" s="18">
        <f t="shared" si="1"/>
        <v>300</v>
      </c>
      <c r="L60" s="133">
        <v>10</v>
      </c>
      <c r="M60" s="19">
        <f t="shared" si="41"/>
        <v>2913.6585365853648</v>
      </c>
      <c r="N60" s="18">
        <f t="shared" si="3"/>
        <v>291.36585365853648</v>
      </c>
      <c r="O60" s="20">
        <f t="shared" si="4"/>
        <v>0</v>
      </c>
      <c r="P60" s="21">
        <f t="shared" si="5"/>
        <v>-8.63414634146352</v>
      </c>
      <c r="Q60" s="128">
        <f t="shared" si="6"/>
        <v>0.97121951219512159</v>
      </c>
      <c r="R60" s="573"/>
      <c r="S60" s="49">
        <v>0.31527777777777777</v>
      </c>
      <c r="T60" s="49">
        <v>0.34375</v>
      </c>
      <c r="U60" s="125">
        <f t="shared" si="44"/>
        <v>5.9999999999999787</v>
      </c>
      <c r="V60" s="134">
        <f t="shared" si="42"/>
        <v>41.000000000000014</v>
      </c>
      <c r="W60" s="125"/>
      <c r="X60" s="125"/>
      <c r="Y60" s="125"/>
      <c r="Z60" s="125"/>
      <c r="AA60" s="575"/>
      <c r="AB60" s="575"/>
      <c r="AC60" s="50"/>
      <c r="AD60" s="27"/>
      <c r="AE60" s="20">
        <f t="shared" si="43"/>
        <v>-86.3414634146352</v>
      </c>
      <c r="AF60" s="128">
        <f t="shared" si="9"/>
        <v>0.97121951219512159</v>
      </c>
      <c r="AG60" s="573"/>
    </row>
    <row r="61" spans="1:33">
      <c r="A61" s="581" t="s">
        <v>524</v>
      </c>
      <c r="B61" s="135" t="s">
        <v>104</v>
      </c>
      <c r="C61" s="574" t="s">
        <v>119</v>
      </c>
      <c r="D61" s="574"/>
      <c r="E61" s="39">
        <v>35.869999999999997</v>
      </c>
      <c r="F61" s="45">
        <v>4104</v>
      </c>
      <c r="G61" s="125">
        <f t="shared" si="40"/>
        <v>147210.47999999998</v>
      </c>
      <c r="H61" s="48" t="s">
        <v>126</v>
      </c>
      <c r="I61" s="133">
        <v>9</v>
      </c>
      <c r="J61" s="43">
        <v>3000</v>
      </c>
      <c r="K61" s="18">
        <f t="shared" si="1"/>
        <v>333.33333333333331</v>
      </c>
      <c r="L61" s="133">
        <v>9</v>
      </c>
      <c r="M61" s="19">
        <f t="shared" si="41"/>
        <v>2863.2558139534881</v>
      </c>
      <c r="N61" s="18">
        <f t="shared" si="3"/>
        <v>318.1395348837209</v>
      </c>
      <c r="O61" s="20">
        <f t="shared" si="4"/>
        <v>0</v>
      </c>
      <c r="P61" s="21">
        <f t="shared" si="5"/>
        <v>-15.193798449612416</v>
      </c>
      <c r="Q61" s="128">
        <f t="shared" si="6"/>
        <v>0.95441860465116279</v>
      </c>
      <c r="R61" s="573"/>
      <c r="S61" s="49">
        <v>0.34861111111111109</v>
      </c>
      <c r="T61" s="49">
        <v>0.40833333333333333</v>
      </c>
      <c r="U61" s="125">
        <f t="shared" si="44"/>
        <v>6.9999999999999751</v>
      </c>
      <c r="V61" s="134">
        <f t="shared" si="42"/>
        <v>86.000000000000014</v>
      </c>
      <c r="W61" s="25"/>
      <c r="X61" s="25"/>
      <c r="Y61" s="25"/>
      <c r="Z61" s="25"/>
      <c r="AA61" s="575"/>
      <c r="AB61" s="575"/>
      <c r="AC61" s="50"/>
      <c r="AD61" s="27"/>
      <c r="AE61" s="20">
        <f t="shared" si="43"/>
        <v>-136.74418604651191</v>
      </c>
      <c r="AF61" s="128">
        <f t="shared" si="9"/>
        <v>0.95441860465116268</v>
      </c>
      <c r="AG61" s="573"/>
    </row>
    <row r="62" spans="1:33" ht="15" customHeight="1">
      <c r="A62" s="581" t="s">
        <v>524</v>
      </c>
      <c r="B62" s="135" t="s">
        <v>104</v>
      </c>
      <c r="C62" s="566" t="s">
        <v>120</v>
      </c>
      <c r="D62" s="567"/>
      <c r="E62" s="39">
        <v>34.35</v>
      </c>
      <c r="F62" s="45">
        <v>2526</v>
      </c>
      <c r="G62" s="125">
        <f t="shared" si="40"/>
        <v>86768.1</v>
      </c>
      <c r="H62" s="48" t="s">
        <v>126</v>
      </c>
      <c r="I62" s="133">
        <v>8</v>
      </c>
      <c r="J62" s="43">
        <v>3000</v>
      </c>
      <c r="K62" s="18">
        <f t="shared" si="1"/>
        <v>375</v>
      </c>
      <c r="L62" s="133">
        <v>8</v>
      </c>
      <c r="M62" s="19">
        <f t="shared" si="41"/>
        <v>2859.6226415094357</v>
      </c>
      <c r="N62" s="18">
        <f t="shared" si="3"/>
        <v>357.45283018867946</v>
      </c>
      <c r="O62" s="20">
        <f t="shared" si="4"/>
        <v>0</v>
      </c>
      <c r="P62" s="21">
        <f t="shared" si="5"/>
        <v>-17.547169811320543</v>
      </c>
      <c r="Q62" s="128">
        <f t="shared" si="6"/>
        <v>0.95320754716981193</v>
      </c>
      <c r="R62" s="573"/>
      <c r="S62" s="49">
        <v>0.41319444444444442</v>
      </c>
      <c r="T62" s="49">
        <v>0.44999999999999996</v>
      </c>
      <c r="U62" s="125">
        <f t="shared" si="44"/>
        <v>6.9999999999999751</v>
      </c>
      <c r="V62" s="134">
        <f t="shared" si="42"/>
        <v>52.999999999999972</v>
      </c>
      <c r="W62" s="125"/>
      <c r="X62" s="125"/>
      <c r="Y62" s="131"/>
      <c r="Z62" s="131"/>
      <c r="AA62" s="568"/>
      <c r="AB62" s="569"/>
      <c r="AC62" s="50"/>
      <c r="AD62" s="27"/>
      <c r="AE62" s="20">
        <f t="shared" si="43"/>
        <v>-140.37735849056435</v>
      </c>
      <c r="AF62" s="128">
        <f t="shared" si="9"/>
        <v>0.95320754716981193</v>
      </c>
      <c r="AG62" s="573"/>
    </row>
    <row r="63" spans="1:33">
      <c r="A63" s="581" t="s">
        <v>524</v>
      </c>
      <c r="B63" s="39" t="s">
        <v>522</v>
      </c>
      <c r="C63" s="576"/>
      <c r="D63" s="576"/>
      <c r="E63" s="132"/>
      <c r="F63" s="42"/>
      <c r="G63" s="18"/>
      <c r="H63" s="135"/>
      <c r="I63" s="32">
        <v>9.5</v>
      </c>
      <c r="J63" s="43">
        <v>3000</v>
      </c>
      <c r="K63" s="18">
        <f t="shared" si="1"/>
        <v>315.78947368421052</v>
      </c>
      <c r="L63" s="32">
        <v>9.5</v>
      </c>
      <c r="M63" s="19">
        <f>AVERAGE(M57:M62)</f>
        <v>2877.5176595942553</v>
      </c>
      <c r="N63" s="18">
        <f t="shared" si="3"/>
        <v>302.89659574676369</v>
      </c>
      <c r="O63" s="20">
        <f t="shared" si="4"/>
        <v>0</v>
      </c>
      <c r="P63" s="21">
        <f t="shared" si="5"/>
        <v>-12.892877937446826</v>
      </c>
      <c r="Q63" s="128">
        <f t="shared" si="6"/>
        <v>0.95917255319808503</v>
      </c>
      <c r="R63" s="573"/>
      <c r="S63" s="49"/>
      <c r="T63" s="49"/>
      <c r="U63" s="18"/>
      <c r="V63" s="134"/>
      <c r="W63" s="18"/>
      <c r="X63" s="18"/>
      <c r="Y63" s="33">
        <f>SUM(Y57:Y62)</f>
        <v>0</v>
      </c>
      <c r="Z63" s="33">
        <f>SUM(Z57:Z62)</f>
        <v>0</v>
      </c>
      <c r="AA63" s="572"/>
      <c r="AB63" s="572"/>
      <c r="AC63" s="33">
        <v>6</v>
      </c>
      <c r="AD63" s="33">
        <f>SUM(AD57:AD62)</f>
        <v>0</v>
      </c>
      <c r="AE63" s="20">
        <f t="shared" si="43"/>
        <v>-122.48234040574471</v>
      </c>
      <c r="AF63" s="128">
        <f t="shared" si="9"/>
        <v>0.95917255319808514</v>
      </c>
      <c r="AG63" s="573"/>
    </row>
    <row r="64" spans="1:33" ht="15.75" customHeight="1">
      <c r="A64" s="577" t="s">
        <v>525</v>
      </c>
      <c r="B64" s="135" t="s">
        <v>94</v>
      </c>
      <c r="C64" s="574" t="s">
        <v>124</v>
      </c>
      <c r="D64" s="574"/>
      <c r="E64" s="39">
        <v>22.69</v>
      </c>
      <c r="F64" s="135">
        <v>6016</v>
      </c>
      <c r="G64" s="125">
        <f t="shared" ref="G64:G68" si="45">E64*F64</f>
        <v>136503.04000000001</v>
      </c>
      <c r="H64" s="48" t="s">
        <v>126</v>
      </c>
      <c r="I64" s="133">
        <v>15</v>
      </c>
      <c r="J64" s="43">
        <v>2400</v>
      </c>
      <c r="K64" s="18">
        <f t="shared" si="1"/>
        <v>160</v>
      </c>
      <c r="L64" s="133">
        <v>15</v>
      </c>
      <c r="M64" s="19">
        <f t="shared" ref="M64:M68" si="46">F64/V64*60</f>
        <v>2299.1082802547776</v>
      </c>
      <c r="N64" s="18">
        <f t="shared" si="3"/>
        <v>153.27388535031849</v>
      </c>
      <c r="O64" s="20">
        <f t="shared" si="4"/>
        <v>0</v>
      </c>
      <c r="P64" s="21">
        <f t="shared" si="5"/>
        <v>-6.7261146496815059</v>
      </c>
      <c r="Q64" s="128">
        <f t="shared" si="6"/>
        <v>0.95796178343949057</v>
      </c>
      <c r="R64" s="573">
        <f>Q69</f>
        <v>0.95652468423393511</v>
      </c>
      <c r="S64" s="49">
        <v>8.3333333333333329E-2</v>
      </c>
      <c r="T64" s="49">
        <v>0.19236111111111109</v>
      </c>
      <c r="U64" s="30"/>
      <c r="V64" s="134">
        <f t="shared" ref="V64:V68" si="47">(T64-S64)*24*60</f>
        <v>156.99999999999997</v>
      </c>
      <c r="W64" s="25">
        <f>T64</f>
        <v>0.19236111111111109</v>
      </c>
      <c r="X64" s="25">
        <f>S65</f>
        <v>0.21249999999999999</v>
      </c>
      <c r="Y64" s="25"/>
      <c r="Z64" s="25"/>
      <c r="AA64" s="575"/>
      <c r="AB64" s="575"/>
      <c r="AC64" s="50">
        <v>5</v>
      </c>
      <c r="AD64" s="27"/>
      <c r="AE64" s="20">
        <f t="shared" si="43"/>
        <v>-100.89171974522242</v>
      </c>
      <c r="AF64" s="128">
        <f t="shared" si="9"/>
        <v>0.95796178343949068</v>
      </c>
      <c r="AG64" s="573">
        <f>AF69</f>
        <v>0.95652468423393511</v>
      </c>
    </row>
    <row r="65" spans="1:33" ht="15.75" customHeight="1">
      <c r="A65" s="578" t="s">
        <v>525</v>
      </c>
      <c r="B65" s="135" t="s">
        <v>94</v>
      </c>
      <c r="C65" s="574" t="s">
        <v>101</v>
      </c>
      <c r="D65" s="574"/>
      <c r="E65" s="39">
        <v>25.98</v>
      </c>
      <c r="F65" s="135">
        <v>4407</v>
      </c>
      <c r="G65" s="125">
        <f t="shared" si="45"/>
        <v>114493.86</v>
      </c>
      <c r="H65" s="48" t="s">
        <v>126</v>
      </c>
      <c r="I65" s="133">
        <v>21</v>
      </c>
      <c r="J65" s="43">
        <v>2400</v>
      </c>
      <c r="K65" s="18">
        <f t="shared" si="1"/>
        <v>114.28571428571429</v>
      </c>
      <c r="L65" s="133">
        <v>21</v>
      </c>
      <c r="M65" s="19">
        <f t="shared" si="46"/>
        <v>2299.3043478260861</v>
      </c>
      <c r="N65" s="18">
        <f t="shared" si="3"/>
        <v>109.49068322981363</v>
      </c>
      <c r="O65" s="20">
        <f t="shared" si="4"/>
        <v>0</v>
      </c>
      <c r="P65" s="21">
        <f t="shared" si="5"/>
        <v>-4.7950310559006653</v>
      </c>
      <c r="Q65" s="128">
        <f t="shared" si="6"/>
        <v>0.95804347826086922</v>
      </c>
      <c r="R65" s="573"/>
      <c r="S65" s="49">
        <v>0.21249999999999999</v>
      </c>
      <c r="T65" s="49">
        <v>0.29236111111111113</v>
      </c>
      <c r="U65" s="125">
        <f t="shared" ref="U65:U68" si="48">(S65-T64)*24*60</f>
        <v>29.000000000000018</v>
      </c>
      <c r="V65" s="134">
        <f t="shared" si="47"/>
        <v>115.00000000000003</v>
      </c>
      <c r="W65" s="25"/>
      <c r="X65" s="25"/>
      <c r="Y65" s="25"/>
      <c r="Z65" s="25"/>
      <c r="AA65" s="575"/>
      <c r="AB65" s="575"/>
      <c r="AC65" s="50"/>
      <c r="AD65" s="27"/>
      <c r="AE65" s="20">
        <f t="shared" si="43"/>
        <v>-100.69565217391391</v>
      </c>
      <c r="AF65" s="128">
        <f t="shared" si="9"/>
        <v>0.95804347826086922</v>
      </c>
      <c r="AG65" s="573"/>
    </row>
    <row r="66" spans="1:33" ht="15.75" customHeight="1">
      <c r="A66" s="578" t="s">
        <v>525</v>
      </c>
      <c r="B66" s="135" t="s">
        <v>94</v>
      </c>
      <c r="C66" s="574" t="s">
        <v>123</v>
      </c>
      <c r="D66" s="574"/>
      <c r="E66" s="39">
        <v>20.21</v>
      </c>
      <c r="F66" s="135">
        <v>4210</v>
      </c>
      <c r="G66" s="125">
        <f t="shared" si="45"/>
        <v>85084.1</v>
      </c>
      <c r="H66" s="48" t="s">
        <v>126</v>
      </c>
      <c r="I66" s="133">
        <v>15</v>
      </c>
      <c r="J66" s="43">
        <v>2400</v>
      </c>
      <c r="K66" s="18">
        <f t="shared" si="1"/>
        <v>160</v>
      </c>
      <c r="L66" s="133">
        <v>15</v>
      </c>
      <c r="M66" s="19">
        <f t="shared" si="46"/>
        <v>2296.363636363636</v>
      </c>
      <c r="N66" s="18">
        <f t="shared" si="3"/>
        <v>153.09090909090907</v>
      </c>
      <c r="O66" s="20">
        <f t="shared" si="4"/>
        <v>0</v>
      </c>
      <c r="P66" s="21">
        <f t="shared" si="5"/>
        <v>-6.9090909090909349</v>
      </c>
      <c r="Q66" s="128">
        <f t="shared" si="6"/>
        <v>0.95681818181818168</v>
      </c>
      <c r="R66" s="573"/>
      <c r="S66" s="49">
        <v>0.29722222222222222</v>
      </c>
      <c r="T66" s="49">
        <v>0.37361111111111112</v>
      </c>
      <c r="U66" s="125">
        <f t="shared" si="48"/>
        <v>6.9999999999999751</v>
      </c>
      <c r="V66" s="134">
        <f t="shared" si="47"/>
        <v>110.00000000000001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-103.63636363636397</v>
      </c>
      <c r="AF66" s="128">
        <f t="shared" si="9"/>
        <v>0.95681818181818168</v>
      </c>
      <c r="AG66" s="573"/>
    </row>
    <row r="67" spans="1:33" ht="15.75" customHeight="1">
      <c r="A67" s="578" t="s">
        <v>526</v>
      </c>
      <c r="B67" s="135" t="s">
        <v>94</v>
      </c>
      <c r="C67" s="574" t="s">
        <v>125</v>
      </c>
      <c r="D67" s="574"/>
      <c r="E67" s="39">
        <v>19.02</v>
      </c>
      <c r="F67" s="135">
        <v>6000</v>
      </c>
      <c r="G67" s="125">
        <f t="shared" si="45"/>
        <v>114120</v>
      </c>
      <c r="H67" s="48">
        <v>2</v>
      </c>
      <c r="I67" s="133">
        <v>14</v>
      </c>
      <c r="J67" s="43">
        <v>2400</v>
      </c>
      <c r="K67" s="18">
        <f t="shared" si="1"/>
        <v>171.42857142857142</v>
      </c>
      <c r="L67" s="133">
        <v>14</v>
      </c>
      <c r="M67" s="19">
        <f t="shared" si="46"/>
        <v>2292.9936305732485</v>
      </c>
      <c r="N67" s="18">
        <f t="shared" si="3"/>
        <v>163.78525932666062</v>
      </c>
      <c r="O67" s="20">
        <f t="shared" si="4"/>
        <v>0</v>
      </c>
      <c r="P67" s="21">
        <f t="shared" si="5"/>
        <v>-7.6433121019107944</v>
      </c>
      <c r="Q67" s="128">
        <f t="shared" si="6"/>
        <v>0.95541401273885374</v>
      </c>
      <c r="R67" s="573"/>
      <c r="S67" s="49">
        <v>0.37777777777777777</v>
      </c>
      <c r="T67" s="49">
        <v>0.48680555555555555</v>
      </c>
      <c r="U67" s="125">
        <f t="shared" si="48"/>
        <v>5.9999999999999787</v>
      </c>
      <c r="V67" s="134">
        <f t="shared" si="47"/>
        <v>157</v>
      </c>
      <c r="W67" s="25">
        <f>T67</f>
        <v>0.48680555555555555</v>
      </c>
      <c r="X67" s="25">
        <f>S68</f>
        <v>0.52847222222222212</v>
      </c>
      <c r="Y67" s="25"/>
      <c r="Z67" s="25"/>
      <c r="AA67" s="575"/>
      <c r="AB67" s="575"/>
      <c r="AC67" s="50"/>
      <c r="AD67" s="27"/>
      <c r="AE67" s="20">
        <f t="shared" si="43"/>
        <v>-107.00636942675146</v>
      </c>
      <c r="AF67" s="128">
        <f t="shared" si="9"/>
        <v>0.95541401273885351</v>
      </c>
      <c r="AG67" s="573"/>
    </row>
    <row r="68" spans="1:33" ht="15.75" customHeight="1">
      <c r="A68" s="578" t="s">
        <v>525</v>
      </c>
      <c r="B68" s="135" t="s">
        <v>94</v>
      </c>
      <c r="C68" s="574" t="s">
        <v>125</v>
      </c>
      <c r="D68" s="574"/>
      <c r="E68" s="39">
        <v>19.02</v>
      </c>
      <c r="F68" s="135">
        <v>8704</v>
      </c>
      <c r="G68" s="125">
        <f t="shared" si="45"/>
        <v>165550.07999999999</v>
      </c>
      <c r="H68" s="48" t="s">
        <v>126</v>
      </c>
      <c r="I68" s="133">
        <v>14</v>
      </c>
      <c r="J68" s="43">
        <v>2400</v>
      </c>
      <c r="K68" s="18">
        <f t="shared" si="1"/>
        <v>171.42857142857142</v>
      </c>
      <c r="L68" s="133">
        <v>14</v>
      </c>
      <c r="M68" s="19">
        <f t="shared" si="46"/>
        <v>2290.5263157894738</v>
      </c>
      <c r="N68" s="18">
        <f t="shared" si="3"/>
        <v>163.60902255639098</v>
      </c>
      <c r="O68" s="20">
        <f t="shared" si="4"/>
        <v>0</v>
      </c>
      <c r="P68" s="21">
        <f t="shared" si="5"/>
        <v>-7.8195488721804338</v>
      </c>
      <c r="Q68" s="128">
        <f t="shared" si="6"/>
        <v>0.95438596491228078</v>
      </c>
      <c r="R68" s="573"/>
      <c r="S68" s="49">
        <v>0.52847222222222212</v>
      </c>
      <c r="T68" s="49">
        <v>0.68680555555555545</v>
      </c>
      <c r="U68" s="125">
        <f t="shared" si="48"/>
        <v>59.999999999999865</v>
      </c>
      <c r="V68" s="134">
        <f t="shared" si="47"/>
        <v>228</v>
      </c>
      <c r="W68" s="25"/>
      <c r="X68" s="25"/>
      <c r="Y68" s="25"/>
      <c r="Z68" s="25"/>
      <c r="AA68" s="575"/>
      <c r="AB68" s="575"/>
      <c r="AC68" s="50"/>
      <c r="AD68" s="27"/>
      <c r="AE68" s="20">
        <f t="shared" si="43"/>
        <v>-109.47368421052624</v>
      </c>
      <c r="AF68" s="128">
        <f t="shared" si="9"/>
        <v>0.95438596491228078</v>
      </c>
      <c r="AG68" s="573"/>
    </row>
    <row r="69" spans="1:33" ht="16.5" customHeight="1">
      <c r="A69" s="579" t="s">
        <v>526</v>
      </c>
      <c r="B69" s="39" t="s">
        <v>522</v>
      </c>
      <c r="C69" s="570"/>
      <c r="D69" s="571"/>
      <c r="E69" s="132"/>
      <c r="F69" s="42"/>
      <c r="G69" s="18"/>
      <c r="H69" s="135"/>
      <c r="I69" s="32">
        <v>15.8</v>
      </c>
      <c r="J69" s="43">
        <v>2400</v>
      </c>
      <c r="K69" s="18">
        <f t="shared" ref="K69" si="49">J69/I69</f>
        <v>151.89873417721518</v>
      </c>
      <c r="L69" s="32">
        <v>15.8</v>
      </c>
      <c r="M69" s="19">
        <f>AVERAGE(M64:M68)</f>
        <v>2295.6592421614441</v>
      </c>
      <c r="N69" s="18">
        <f t="shared" ref="N69" si="50">M69/L69</f>
        <v>145.29488874439519</v>
      </c>
      <c r="O69" s="20">
        <f t="shared" ref="O69" si="51">L69-I69</f>
        <v>0</v>
      </c>
      <c r="P69" s="21">
        <f t="shared" ref="P69" si="52">N69-K69</f>
        <v>-6.6038454328199805</v>
      </c>
      <c r="Q69" s="128">
        <f t="shared" ref="Q69" si="53">N69/K69</f>
        <v>0.95652468423393511</v>
      </c>
      <c r="R69" s="573"/>
      <c r="S69" s="49"/>
      <c r="T69" s="49"/>
      <c r="U69" s="18"/>
      <c r="V69" s="134"/>
      <c r="W69" s="18"/>
      <c r="X69" s="18"/>
      <c r="Y69" s="33">
        <f>SUM(Y64:Y68)</f>
        <v>0</v>
      </c>
      <c r="Z69" s="33">
        <f>SUM(Z64:Z68)</f>
        <v>0</v>
      </c>
      <c r="AA69" s="572"/>
      <c r="AB69" s="572"/>
      <c r="AC69" s="33">
        <v>5</v>
      </c>
      <c r="AD69" s="33">
        <f>SUM(AD64:AD68)</f>
        <v>0</v>
      </c>
      <c r="AE69" s="20">
        <f t="shared" si="43"/>
        <v>-104.34075783855587</v>
      </c>
      <c r="AF69" s="128">
        <f t="shared" ref="AF69" si="54">M69/J69</f>
        <v>0.95652468423393511</v>
      </c>
      <c r="AG69" s="573"/>
    </row>
    <row r="70" spans="1:33">
      <c r="D70" s="35"/>
      <c r="E70" s="35"/>
      <c r="H70" s="124"/>
    </row>
  </sheetData>
  <mergeCells count="191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5"/>
    <mergeCell ref="C11:D11"/>
    <mergeCell ref="R11:R15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6:AG21"/>
    <mergeCell ref="C17:D17"/>
    <mergeCell ref="AA17:AB17"/>
    <mergeCell ref="C18:D18"/>
    <mergeCell ref="AA18:AB18"/>
    <mergeCell ref="C19:D19"/>
    <mergeCell ref="AG11:AG15"/>
    <mergeCell ref="C12:D12"/>
    <mergeCell ref="AA12:AB12"/>
    <mergeCell ref="C13:D13"/>
    <mergeCell ref="AA13:AB13"/>
    <mergeCell ref="C14:D14"/>
    <mergeCell ref="AA14:AB14"/>
    <mergeCell ref="C15:D15"/>
    <mergeCell ref="AA15:AB15"/>
    <mergeCell ref="AA19:AB19"/>
    <mergeCell ref="C20:D20"/>
    <mergeCell ref="AA20:AB20"/>
    <mergeCell ref="C21:D21"/>
    <mergeCell ref="AA21:AB21"/>
    <mergeCell ref="A22:A28"/>
    <mergeCell ref="C22:D22"/>
    <mergeCell ref="R22:R28"/>
    <mergeCell ref="AA22:AB22"/>
    <mergeCell ref="AA27:AB27"/>
    <mergeCell ref="A16:A21"/>
    <mergeCell ref="C16:D16"/>
    <mergeCell ref="R16:R21"/>
    <mergeCell ref="AA16:AB16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G37:AG43"/>
    <mergeCell ref="C38:D38"/>
    <mergeCell ref="AA38:AB38"/>
    <mergeCell ref="C39:D39"/>
    <mergeCell ref="AA39:AB39"/>
    <mergeCell ref="C43:D43"/>
    <mergeCell ref="AA43:AB43"/>
    <mergeCell ref="A29:A36"/>
    <mergeCell ref="C29:D29"/>
    <mergeCell ref="R29:R36"/>
    <mergeCell ref="AA29:AB29"/>
    <mergeCell ref="AA34:AB34"/>
    <mergeCell ref="C35:D35"/>
    <mergeCell ref="AA35:AB35"/>
    <mergeCell ref="C36:D36"/>
    <mergeCell ref="AA36:AB36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55:AB55"/>
    <mergeCell ref="C56:D56"/>
    <mergeCell ref="AA56:AB56"/>
    <mergeCell ref="A44:A48"/>
    <mergeCell ref="C44:D44"/>
    <mergeCell ref="R44:R48"/>
    <mergeCell ref="AA44:AB44"/>
    <mergeCell ref="C40:D40"/>
    <mergeCell ref="AA40:AB40"/>
    <mergeCell ref="C41:D41"/>
    <mergeCell ref="AA41:AB41"/>
    <mergeCell ref="C42:D42"/>
    <mergeCell ref="AA42:AB42"/>
    <mergeCell ref="A37:A43"/>
    <mergeCell ref="C37:D37"/>
    <mergeCell ref="R37:R43"/>
    <mergeCell ref="AA37:AB37"/>
    <mergeCell ref="A49:A56"/>
    <mergeCell ref="C49:D49"/>
    <mergeCell ref="R49:R56"/>
    <mergeCell ref="AA49:AB49"/>
    <mergeCell ref="AG44:AG48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A57:A63"/>
    <mergeCell ref="C57:D57"/>
    <mergeCell ref="R57:R63"/>
    <mergeCell ref="AA57:AB57"/>
    <mergeCell ref="AG57:AG63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AG49:AG56"/>
    <mergeCell ref="C50:D50"/>
    <mergeCell ref="AA50:AB50"/>
    <mergeCell ref="C51:D51"/>
    <mergeCell ref="AA51:AB51"/>
    <mergeCell ref="AA52:AB52"/>
    <mergeCell ref="AA53:AB53"/>
    <mergeCell ref="C54:D54"/>
    <mergeCell ref="AA54:AB54"/>
    <mergeCell ref="C55:D55"/>
    <mergeCell ref="AA67:AB67"/>
    <mergeCell ref="C68:D68"/>
    <mergeCell ref="AA68:AB68"/>
    <mergeCell ref="A64:A69"/>
    <mergeCell ref="C64:D64"/>
    <mergeCell ref="R64:R69"/>
    <mergeCell ref="AA64:AB64"/>
    <mergeCell ref="AG64:AG69"/>
    <mergeCell ref="C65:D65"/>
    <mergeCell ref="AA65:AB65"/>
    <mergeCell ref="C66:D66"/>
    <mergeCell ref="AA66:AB66"/>
    <mergeCell ref="C67:D67"/>
    <mergeCell ref="C69:D69"/>
    <mergeCell ref="AA69:AB69"/>
  </mergeCells>
  <phoneticPr fontId="3" type="noConversion"/>
  <conditionalFormatting sqref="O56:O57 O60:O69 O5:O11 O15:O17 O21:O54">
    <cfRule type="cellIs" dxfId="268" priority="41" operator="greaterThan">
      <formula>0</formula>
    </cfRule>
  </conditionalFormatting>
  <conditionalFormatting sqref="P5:P9 P60:P62 AE60:AE62 P64:P68 P29:P35 P57 P11 P15:P17 P22:P27 P49:P54 P37:P47 AE5:AE57 AE64:AE69">
    <cfRule type="cellIs" dxfId="267" priority="45" operator="lessThan">
      <formula>0</formula>
    </cfRule>
  </conditionalFormatting>
  <conditionalFormatting sqref="AF60:AF62 Q56:Q57 Q60:Q69 Q5:Q11 Q15:Q17 Q21:Q54 AF5:AF57 AF64:AF69">
    <cfRule type="cellIs" dxfId="266" priority="42" operator="greaterThan">
      <formula>1</formula>
    </cfRule>
    <cfRule type="cellIs" dxfId="265" priority="43" operator="lessThan">
      <formula>0.8</formula>
    </cfRule>
  </conditionalFormatting>
  <conditionalFormatting sqref="AG16:AG17 R16:R17 AG60 AG56:AG57 R56:R57 R60:R69 AG5:AG11 R5:R11 AG21:AG54 R21:R54">
    <cfRule type="cellIs" dxfId="264" priority="47" operator="lessThan">
      <formula>0.8</formula>
    </cfRule>
  </conditionalFormatting>
  <conditionalFormatting sqref="AG44">
    <cfRule type="cellIs" dxfId="263" priority="49" operator="lessThan">
      <formula>0.8</formula>
    </cfRule>
  </conditionalFormatting>
  <conditionalFormatting sqref="AG22:AG27">
    <cfRule type="cellIs" dxfId="262" priority="46" operator="lessThan">
      <formula>0.8</formula>
    </cfRule>
  </conditionalFormatting>
  <conditionalFormatting sqref="AG29">
    <cfRule type="cellIs" dxfId="261" priority="48" operator="lessThan">
      <formula>0.8</formula>
    </cfRule>
  </conditionalFormatting>
  <conditionalFormatting sqref="AG37:AG42">
    <cfRule type="cellIs" dxfId="260" priority="44" operator="lessThan">
      <formula>0.8</formula>
    </cfRule>
  </conditionalFormatting>
  <conditionalFormatting sqref="AE63">
    <cfRule type="cellIs" dxfId="259" priority="40" operator="lessThan">
      <formula>0</formula>
    </cfRule>
  </conditionalFormatting>
  <conditionalFormatting sqref="AF63">
    <cfRule type="cellIs" dxfId="258" priority="38" operator="greaterThan">
      <formula>1</formula>
    </cfRule>
    <cfRule type="cellIs" dxfId="257" priority="39" operator="lessThan">
      <formula>0.8</formula>
    </cfRule>
  </conditionalFormatting>
  <conditionalFormatting sqref="O18:O19">
    <cfRule type="cellIs" dxfId="256" priority="33" operator="greaterThan">
      <formula>0</formula>
    </cfRule>
  </conditionalFormatting>
  <conditionalFormatting sqref="P18:P19">
    <cfRule type="cellIs" dxfId="255" priority="36" operator="lessThan">
      <formula>0</formula>
    </cfRule>
  </conditionalFormatting>
  <conditionalFormatting sqref="Q18:Q19">
    <cfRule type="cellIs" dxfId="254" priority="34" operator="greaterThan">
      <formula>1</formula>
    </cfRule>
    <cfRule type="cellIs" dxfId="253" priority="35" operator="lessThan">
      <formula>0.8</formula>
    </cfRule>
  </conditionalFormatting>
  <conditionalFormatting sqref="R18:R19 AG18:AG19">
    <cfRule type="cellIs" dxfId="252" priority="37" operator="lessThan">
      <formula>0.8</formula>
    </cfRule>
  </conditionalFormatting>
  <conditionalFormatting sqref="O12:O14">
    <cfRule type="cellIs" dxfId="251" priority="29" operator="greaterThan">
      <formula>0</formula>
    </cfRule>
  </conditionalFormatting>
  <conditionalFormatting sqref="P12:P14">
    <cfRule type="cellIs" dxfId="250" priority="32" operator="lessThan">
      <formula>0</formula>
    </cfRule>
  </conditionalFormatting>
  <conditionalFormatting sqref="Q12:Q14">
    <cfRule type="cellIs" dxfId="249" priority="30" operator="greaterThan">
      <formula>1</formula>
    </cfRule>
    <cfRule type="cellIs" dxfId="248" priority="31" operator="lessThan">
      <formula>0.8</formula>
    </cfRule>
  </conditionalFormatting>
  <conditionalFormatting sqref="O55">
    <cfRule type="cellIs" dxfId="247" priority="24" operator="greaterThan">
      <formula>0</formula>
    </cfRule>
  </conditionalFormatting>
  <conditionalFormatting sqref="P55">
    <cfRule type="cellIs" dxfId="246" priority="27" operator="lessThan">
      <formula>0</formula>
    </cfRule>
  </conditionalFormatting>
  <conditionalFormatting sqref="Q55">
    <cfRule type="cellIs" dxfId="245" priority="25" operator="greaterThan">
      <formula>1</formula>
    </cfRule>
    <cfRule type="cellIs" dxfId="244" priority="26" operator="lessThan">
      <formula>0.8</formula>
    </cfRule>
  </conditionalFormatting>
  <conditionalFormatting sqref="R55 AG55">
    <cfRule type="cellIs" dxfId="243" priority="28" operator="lessThan">
      <formula>0.8</formula>
    </cfRule>
  </conditionalFormatting>
  <conditionalFormatting sqref="O59">
    <cfRule type="cellIs" dxfId="242" priority="19" operator="greaterThan">
      <formula>0</formula>
    </cfRule>
  </conditionalFormatting>
  <conditionalFormatting sqref="P59 AE59">
    <cfRule type="cellIs" dxfId="241" priority="22" operator="lessThan">
      <formula>0</formula>
    </cfRule>
  </conditionalFormatting>
  <conditionalFormatting sqref="Q59 AF59">
    <cfRule type="cellIs" dxfId="240" priority="20" operator="greaterThan">
      <formula>1</formula>
    </cfRule>
    <cfRule type="cellIs" dxfId="239" priority="21" operator="lessThan">
      <formula>0.8</formula>
    </cfRule>
  </conditionalFormatting>
  <conditionalFormatting sqref="R59 AG59">
    <cfRule type="cellIs" dxfId="238" priority="23" operator="lessThan">
      <formula>0.8</formula>
    </cfRule>
  </conditionalFormatting>
  <conditionalFormatting sqref="O20">
    <cfRule type="cellIs" dxfId="237" priority="14" operator="greaterThan">
      <formula>0</formula>
    </cfRule>
  </conditionalFormatting>
  <conditionalFormatting sqref="P20">
    <cfRule type="cellIs" dxfId="236" priority="17" operator="lessThan">
      <formula>0</formula>
    </cfRule>
  </conditionalFormatting>
  <conditionalFormatting sqref="Q20">
    <cfRule type="cellIs" dxfId="235" priority="15" operator="greaterThan">
      <formula>1</formula>
    </cfRule>
    <cfRule type="cellIs" dxfId="234" priority="16" operator="lessThan">
      <formula>0.8</formula>
    </cfRule>
  </conditionalFormatting>
  <conditionalFormatting sqref="R20 AG20">
    <cfRule type="cellIs" dxfId="233" priority="18" operator="lessThan">
      <formula>0.8</formula>
    </cfRule>
  </conditionalFormatting>
  <conditionalFormatting sqref="O58">
    <cfRule type="cellIs" dxfId="232" priority="9" operator="greaterThan">
      <formula>0</formula>
    </cfRule>
  </conditionalFormatting>
  <conditionalFormatting sqref="P58 AE58">
    <cfRule type="cellIs" dxfId="231" priority="12" operator="lessThan">
      <formula>0</formula>
    </cfRule>
  </conditionalFormatting>
  <conditionalFormatting sqref="Q58 AF58">
    <cfRule type="cellIs" dxfId="230" priority="10" operator="greaterThan">
      <formula>1</formula>
    </cfRule>
    <cfRule type="cellIs" dxfId="229" priority="11" operator="lessThan">
      <formula>0.8</formula>
    </cfRule>
  </conditionalFormatting>
  <conditionalFormatting sqref="R58 AG58">
    <cfRule type="cellIs" dxfId="228" priority="13" operator="lessThan">
      <formula>0.8</formula>
    </cfRule>
  </conditionalFormatting>
  <conditionalFormatting sqref="P10">
    <cfRule type="cellIs" dxfId="227" priority="8" operator="lessThan">
      <formula>0</formula>
    </cfRule>
  </conditionalFormatting>
  <conditionalFormatting sqref="P21">
    <cfRule type="cellIs" dxfId="226" priority="7" operator="lessThan">
      <formula>0</formula>
    </cfRule>
  </conditionalFormatting>
  <conditionalFormatting sqref="P28">
    <cfRule type="cellIs" dxfId="225" priority="6" operator="lessThan">
      <formula>0</formula>
    </cfRule>
  </conditionalFormatting>
  <conditionalFormatting sqref="P36">
    <cfRule type="cellIs" dxfId="224" priority="5" operator="lessThan">
      <formula>0</formula>
    </cfRule>
  </conditionalFormatting>
  <conditionalFormatting sqref="P48">
    <cfRule type="cellIs" dxfId="223" priority="4" operator="lessThan">
      <formula>0</formula>
    </cfRule>
  </conditionalFormatting>
  <conditionalFormatting sqref="P56">
    <cfRule type="cellIs" dxfId="222" priority="3" operator="lessThan">
      <formula>0</formula>
    </cfRule>
  </conditionalFormatting>
  <conditionalFormatting sqref="P63">
    <cfRule type="cellIs" dxfId="221" priority="2" operator="lessThan">
      <formula>0</formula>
    </cfRule>
  </conditionalFormatting>
  <conditionalFormatting sqref="P69">
    <cfRule type="cellIs" dxfId="220" priority="1" operator="lessThan">
      <formula>0</formula>
    </cfRule>
  </conditionalFormatting>
  <dataValidations count="1">
    <dataValidation type="list" allowBlank="1" showInputMessage="1" showErrorMessage="1" sqref="AB10 AA5:AB9 AB61:AB62 AB12:AB57 AA10:AA62 AA63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B1:Q32"/>
  <sheetViews>
    <sheetView zoomScale="85" zoomScaleNormal="85" workbookViewId="0">
      <selection activeCell="K10" sqref="K10:M1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293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192</v>
      </c>
      <c r="C3" s="555" t="str">
        <f>TEXT('0503 4度C'!A2,"yyyy.mm.ddaaaa")</f>
        <v>2026.05.03星期日</v>
      </c>
      <c r="D3" s="556"/>
      <c r="E3" s="54" t="s">
        <v>294</v>
      </c>
      <c r="F3" s="557">
        <f>'0503 4度C'!D1</f>
        <v>216991</v>
      </c>
      <c r="G3" s="558"/>
      <c r="H3" s="54" t="s">
        <v>295</v>
      </c>
      <c r="I3" s="559">
        <f>'0503 4度C'!F1</f>
        <v>7267750.6399999987</v>
      </c>
      <c r="J3" s="560"/>
      <c r="K3" s="55"/>
      <c r="L3" s="56"/>
      <c r="M3" s="57"/>
      <c r="N3" s="57"/>
    </row>
    <row r="4" spans="2:17" ht="28.5" customHeight="1">
      <c r="B4" s="561" t="s">
        <v>296</v>
      </c>
      <c r="C4" s="547" t="s">
        <v>297</v>
      </c>
      <c r="D4" s="548"/>
      <c r="E4" s="564" t="s">
        <v>298</v>
      </c>
      <c r="F4" s="565"/>
      <c r="G4" s="564" t="s">
        <v>299</v>
      </c>
      <c r="H4" s="565"/>
      <c r="I4" s="564" t="s">
        <v>300</v>
      </c>
      <c r="J4" s="565"/>
      <c r="K4" s="545" t="s">
        <v>301</v>
      </c>
      <c r="L4" s="546"/>
      <c r="M4" s="546" t="s">
        <v>302</v>
      </c>
      <c r="N4" s="546"/>
    </row>
    <row r="5" spans="2:17" ht="28.5" customHeight="1">
      <c r="B5" s="562"/>
      <c r="C5" s="547" t="s">
        <v>303</v>
      </c>
      <c r="D5" s="548"/>
      <c r="E5" s="547" t="s">
        <v>304</v>
      </c>
      <c r="F5" s="548"/>
      <c r="G5" s="549" t="s">
        <v>305</v>
      </c>
      <c r="H5" s="550"/>
      <c r="I5" s="551" t="s">
        <v>306</v>
      </c>
      <c r="J5" s="552"/>
      <c r="K5" s="58" t="s">
        <v>307</v>
      </c>
      <c r="L5" s="59" t="s">
        <v>308</v>
      </c>
      <c r="M5" s="58" t="s">
        <v>309</v>
      </c>
      <c r="N5" s="59" t="s">
        <v>310</v>
      </c>
    </row>
    <row r="6" spans="2:17" ht="28.5" customHeight="1">
      <c r="B6" s="562"/>
      <c r="C6" s="547" t="s">
        <v>145</v>
      </c>
      <c r="D6" s="548"/>
      <c r="E6" s="539">
        <f>AVERAGE(D13:M13)</f>
        <v>155.12869307433914</v>
      </c>
      <c r="F6" s="540">
        <f>AVERAGE(D31:O31,D13:J13)</f>
        <v>160.69641746141329</v>
      </c>
      <c r="G6" s="541">
        <f>AVERAGE(D13:J13)</f>
        <v>160.69641746141329</v>
      </c>
      <c r="H6" s="542"/>
      <c r="I6" s="541">
        <f>AVERAGE(K13:M13)</f>
        <v>142.13733617116611</v>
      </c>
      <c r="J6" s="542"/>
      <c r="K6" s="543">
        <f>'0503 4度C'!Y2</f>
        <v>0</v>
      </c>
      <c r="L6" s="528">
        <f>'0503 4度C'!Z2</f>
        <v>0</v>
      </c>
      <c r="M6" s="544">
        <f>'0503 4度C'!AC2</f>
        <v>60</v>
      </c>
      <c r="N6" s="528">
        <f>'0503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148.47714098335547</v>
      </c>
      <c r="F7" s="532">
        <f>AVERAGE(D32:O32,D14:J14)</f>
        <v>153.9917636890172</v>
      </c>
      <c r="G7" s="533">
        <f>AVERAGE(D14:J14)</f>
        <v>153.9917636890172</v>
      </c>
      <c r="H7" s="534"/>
      <c r="I7" s="533">
        <f>AVERAGE(K14:M14)</f>
        <v>135.60968800347806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0.95721042041700366</v>
      </c>
      <c r="F8" s="536">
        <f>AVERAGE(D15:J15,D33:O33)</f>
        <v>0.95853595362766419</v>
      </c>
      <c r="G8" s="537">
        <f>AVERAGE(D15:J15)</f>
        <v>0.95853595362766419</v>
      </c>
      <c r="H8" s="538"/>
      <c r="I8" s="537">
        <f>AVERAGE(K15:M15)</f>
        <v>0.95411750959212915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311</v>
      </c>
      <c r="N9" s="57"/>
      <c r="O9" s="57"/>
      <c r="P9" s="57"/>
      <c r="Q9" s="57"/>
    </row>
    <row r="10" spans="2:17" ht="30" customHeight="1">
      <c r="B10" s="511" t="s">
        <v>312</v>
      </c>
      <c r="C10" s="512"/>
      <c r="D10" s="513" t="s">
        <v>313</v>
      </c>
      <c r="E10" s="514"/>
      <c r="F10" s="514"/>
      <c r="G10" s="514"/>
      <c r="H10" s="514"/>
      <c r="I10" s="514"/>
      <c r="J10" s="515"/>
      <c r="K10" s="516" t="s">
        <v>314</v>
      </c>
      <c r="L10" s="517"/>
      <c r="M10" s="518"/>
      <c r="P10" s="63"/>
      <c r="Q10" s="63"/>
    </row>
    <row r="11" spans="2:17" ht="17.25" customHeight="1">
      <c r="B11" s="519" t="s">
        <v>315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316</v>
      </c>
      <c r="C13" s="70" t="s">
        <v>317</v>
      </c>
      <c r="D13" s="71">
        <f>SUMIFS('0503 4度C'!$K:$K,'0503 4度C'!$A:$A,"新豐6線",'0503 4度C'!$B:$B,"平均")</f>
        <v>121.95121951219514</v>
      </c>
      <c r="E13" s="72">
        <f>SUMIFS('0503 4度C'!$K:$K,'0503 4度C'!$A:$A,"新豐2線",'0503 4度C'!$B:$B,"平均")</f>
        <v>83.333333333333329</v>
      </c>
      <c r="F13" s="73">
        <f>SUMIFS('0503 4度C'!$K:$K,'0503 4度C'!$A:$A,"新豐5線",'0503 4度C'!$B:$B,"平均")</f>
        <v>114.8936170212766</v>
      </c>
      <c r="G13" s="73">
        <f>SUMIFS('0503 4度C'!$K:$K,'0503 4度C'!$A:$A,"新豐7線",'0503 4度C'!$B:$B,"平均")</f>
        <v>121.05263157894737</v>
      </c>
      <c r="H13" s="73">
        <f>SUMIFS('0503 4度C'!$K:$K,'0503 4度C'!$A:$A,"新豐3線",'0503 4度C'!$B:$B,"平均")</f>
        <v>264.15094339622641</v>
      </c>
      <c r="I13" s="73">
        <f>SUMIFS('0503 4度C'!$K:$K,'0503 4度C'!$A:$A,"新豐1線",'0503 4度C'!$B:$B,"平均")</f>
        <v>103.70370370370371</v>
      </c>
      <c r="J13" s="74">
        <f>SUMIFS('0503 4度C'!$K:$K,'0503 4度C'!$A:$A,"新豐10線",'0503 4度C'!$B:$B,"平均")</f>
        <v>315.78947368421052</v>
      </c>
      <c r="K13" s="75">
        <f>SUMIFS('0503 4度C'!$K:$K,'0503 4度C'!$A:$A,"新豐8線",'0503 4度C'!$B:$B,"平均")</f>
        <v>140</v>
      </c>
      <c r="L13" s="76">
        <f>SUMIFS('0503 4度C'!$K:$K,'0503 4度C'!$A:$A,"新豐9線",'0503 4度C'!$B:$B,"平均")</f>
        <v>134.51327433628319</v>
      </c>
      <c r="M13" s="74">
        <f>SUMIFS('0503 4度C'!$K:$K,'0503 4度C'!$A:$A,"新豐4線",'0503 4度C'!$B:$B,"平均")</f>
        <v>151.89873417721518</v>
      </c>
    </row>
    <row r="14" spans="2:17" ht="39.6" customHeight="1">
      <c r="B14" s="524"/>
      <c r="C14" s="77" t="s">
        <v>318</v>
      </c>
      <c r="D14" s="78">
        <f>SUMIFS('0503 4度C'!$N:$N,'0503 4度C'!$A:$A,"新豐6線",'0503 4度C'!$B:$B,"平均")</f>
        <v>117.20732286874383</v>
      </c>
      <c r="E14" s="79">
        <f>SUMIFS('0503 4度C'!$N:$N,'0503 4度C'!$A:$A,"新豐2線",'0503 4度C'!$B:$B,"平均")</f>
        <v>79.607253902362515</v>
      </c>
      <c r="F14" s="79">
        <f>SUMIFS('0503 4度C'!$N:$N,'0503 4度C'!$A:$A,"新豐5線",'0503 4度C'!$B:$B,"平均")</f>
        <v>110.13471653027196</v>
      </c>
      <c r="G14" s="79">
        <f>SUMIFS('0503 4度C'!$N:$N,'0503 4度C'!$A:$A,"新豐7線",'0503 4度C'!$B:$B,"平均")</f>
        <v>115.82178922259286</v>
      </c>
      <c r="H14" s="79">
        <f>SUMIFS('0503 4度C'!$N:$N,'0503 4度C'!$A:$A,"新豐3線",'0503 4度C'!$B:$B,"平均")</f>
        <v>252.88256738848168</v>
      </c>
      <c r="I14" s="79">
        <f>SUMIFS('0503 4度C'!$N:$N,'0503 4度C'!$A:$A,"新豐1線",'0503 4度C'!$B:$B,"平均")</f>
        <v>99.864356674298193</v>
      </c>
      <c r="J14" s="80">
        <f>SUMIFS('0503 4度C'!$N:$N,'0503 4度C'!$A:$A,"新豐10線",'0503 4度C'!$B:$B,"平均")</f>
        <v>302.42433923636935</v>
      </c>
      <c r="K14" s="81">
        <f>SUMIFS('0503 4度C'!$N:$N,'0503 4度C'!$A:$A,"新豐8線",'0503 4度C'!$B:$B,"平均")</f>
        <v>133.55610631004291</v>
      </c>
      <c r="L14" s="82">
        <f>SUMIFS('0503 4度C'!$N:$N,'0503 4度C'!$A:$A,"新豐9線",'0503 4度C'!$B:$B,"平均")</f>
        <v>128.49488765435464</v>
      </c>
      <c r="M14" s="80">
        <f>SUMIFS('0503 4度C'!$N:$N,'0503 4度C'!$A:$A,"新豐4線",'0503 4度C'!$B:$B,"平均")</f>
        <v>144.77807004603665</v>
      </c>
    </row>
    <row r="15" spans="2:17" ht="40.15" customHeight="1">
      <c r="B15" s="525"/>
      <c r="C15" s="83" t="s">
        <v>319</v>
      </c>
      <c r="D15" s="84">
        <f t="shared" ref="D15:M15" si="0">D14/D13</f>
        <v>0.96110004752369926</v>
      </c>
      <c r="E15" s="85">
        <f t="shared" si="0"/>
        <v>0.95528704682835019</v>
      </c>
      <c r="F15" s="85">
        <f t="shared" si="0"/>
        <v>0.95857994017088555</v>
      </c>
      <c r="G15" s="85">
        <f t="shared" si="0"/>
        <v>0.95678869357794094</v>
      </c>
      <c r="H15" s="85">
        <f t="shared" si="0"/>
        <v>0.95734114797068059</v>
      </c>
      <c r="I15" s="85">
        <f t="shared" si="0"/>
        <v>0.9629777250735897</v>
      </c>
      <c r="J15" s="86">
        <f t="shared" si="0"/>
        <v>0.9576770742485029</v>
      </c>
      <c r="K15" s="84">
        <f t="shared" si="0"/>
        <v>0.95397218792887795</v>
      </c>
      <c r="L15" s="85">
        <f t="shared" si="0"/>
        <v>0.95525804637776801</v>
      </c>
      <c r="M15" s="86">
        <f t="shared" si="0"/>
        <v>0.95312229446974139</v>
      </c>
    </row>
    <row r="16" spans="2:17" ht="17.25" customHeight="1">
      <c r="B16" s="526" t="s">
        <v>320</v>
      </c>
      <c r="C16" s="87" t="s">
        <v>321</v>
      </c>
      <c r="D16" s="88">
        <f>VLOOKUP("新豐6線",'0503 4度C'!$A:$T,19,0)</f>
        <v>0.70833333333333337</v>
      </c>
      <c r="E16" s="89">
        <f>VLOOKUP("新豐2線",'0503 4度C'!$A:$T,19,0)</f>
        <v>0.20833333333333334</v>
      </c>
      <c r="F16" s="89">
        <f>VLOOKUP("新豐5線",'0503 4度C'!$A:$T,19,0)</f>
        <v>8.3333333333333329E-2</v>
      </c>
      <c r="G16" s="89">
        <f>VLOOKUP("新豐7線",'0503 4度C'!$A:$T,19,0)</f>
        <v>0.20833333333333334</v>
      </c>
      <c r="H16" s="89">
        <f>VLOOKUP("新豐3線",'0503 4度C'!$A:$T,19,0)</f>
        <v>8.3333333333333329E-2</v>
      </c>
      <c r="I16" s="89">
        <f>VLOOKUP("新豐1線",'0503 4度C'!$A:$T,19,0)</f>
        <v>0.20833333333333334</v>
      </c>
      <c r="J16" s="90">
        <f>VLOOKUP("新豐10線",'0503 4度C'!$A:$T,19,0)</f>
        <v>0.20833333333333334</v>
      </c>
      <c r="K16" s="91">
        <f>VLOOKUP("新豐8線",'0503 4度C'!$A:$T,19,0)</f>
        <v>8.3333333333333329E-2</v>
      </c>
      <c r="L16" s="92">
        <f>VLOOKUP("新豐9線",'0503 4度C'!$A:$T,19,0)</f>
        <v>8.3333333333333329E-2</v>
      </c>
      <c r="M16" s="93">
        <f>VLOOKUP("新豐4線",'0503 4度C'!$A:$T,19,0)</f>
        <v>8.3333333333333329E-2</v>
      </c>
    </row>
    <row r="17" spans="2:13" ht="17.25" customHeight="1">
      <c r="B17" s="527"/>
      <c r="C17" s="87" t="s">
        <v>322</v>
      </c>
      <c r="D17" s="91">
        <f>LOOKUP(2,1/(('0503 4度C'!$A:$A="新豐6線")*('0503 4度C'!$T:$T&lt;&gt;"")),'0503 4度C'!$T:$T)</f>
        <v>0.91180555555555554</v>
      </c>
      <c r="E17" s="89">
        <f>LOOKUP(2,1/(('0503 4度C'!$A:$A="新豐2線")*('0503 4度C'!$T:$T&lt;&gt;"")),'0503 4度C'!$T:$T)</f>
        <v>0.67499999999999993</v>
      </c>
      <c r="F17" s="89">
        <f>LOOKUP(2,1/(('0503 4度C'!$A:$A="新豐5線")*('0503 4度C'!$T:$T&lt;&gt;"")),'0503 4度C'!$T:$T)</f>
        <v>0.89444444444444438</v>
      </c>
      <c r="G17" s="89">
        <f>LOOKUP(2,1/(('0503 4度C'!$A:$A="新豐7線")*('0503 4度C'!$T:$T&lt;&gt;"")),'0503 4度C'!$T:$T)</f>
        <v>0.82083333333333341</v>
      </c>
      <c r="H17" s="89">
        <f>LOOKUP(2,1/(('0503 4度C'!$A:$A="新豐3線")*('0503 4度C'!$T:$T&lt;&gt;"")),'0503 4度C'!$T:$T)</f>
        <v>0.58194444444444449</v>
      </c>
      <c r="I17" s="89">
        <f>LOOKUP(2,1/(('0503 4度C'!$A:$A="新豐1線")*('0503 4度C'!$T:$T&lt;&gt;"")),'0503 4度C'!$T:$T)</f>
        <v>0.82986111111111116</v>
      </c>
      <c r="J17" s="90">
        <f>LOOKUP(2,1/(('0503 4度C'!$A:$A="新豐10線")*('0503 4度C'!$T:$T&lt;&gt;"")),'0503 4度C'!$T:$T)</f>
        <v>0.4416666666666666</v>
      </c>
      <c r="K17" s="88">
        <f>LOOKUP(2,1/(('0503 4度C'!$A:$A="新豐8線")*('0503 4度C'!$T:$T&lt;&gt;"")),'0503 4度C'!$T:$T)</f>
        <v>0.78333333333333321</v>
      </c>
      <c r="L17" s="89">
        <f>LOOKUP(2,1/(('0503 4度C'!$A:$A="新豐9線")*('0503 4度C'!$T:$T&lt;&gt;"")),'0503 4度C'!$T:$T)</f>
        <v>0.77916666666666656</v>
      </c>
      <c r="M17" s="90">
        <f>LOOKUP(2,1/(('0503 4度C'!$A:$A="新豐4線")*('0503 4度C'!$T:$T&lt;&gt;"")),'0503 4度C'!$T:$T)</f>
        <v>0.75138888888888888</v>
      </c>
    </row>
    <row r="18" spans="2:13" ht="17.25" customHeight="1">
      <c r="B18" s="505" t="s">
        <v>323</v>
      </c>
      <c r="C18" s="94" t="s">
        <v>324</v>
      </c>
      <c r="D18" s="95">
        <f>SUMIFS('0503 4度C'!$Y:$Y,'0503 4度C'!$A:$A,"新豐6線",'0503 4度C'!$B:$B,"平均")</f>
        <v>0</v>
      </c>
      <c r="E18" s="96">
        <f>SUMIFS('0503 4度C'!$Y:$Y,'0503 4度C'!$A:$A,"新豐2線",'0503 4度C'!$B:$B,"平均")</f>
        <v>0</v>
      </c>
      <c r="F18" s="96">
        <f>SUMIFS('0503 4度C'!$Y:$Y,'0503 4度C'!$A:$A,"新豐5線",'0503 4度C'!$B:$B,"平均")</f>
        <v>0</v>
      </c>
      <c r="G18" s="96">
        <f>SUMIFS('0503 4度C'!$Y:$Y,'0503 4度C'!$A:$A,"新豐7線",'0503 4度C'!$B:$B,"平均")</f>
        <v>0</v>
      </c>
      <c r="H18" s="96">
        <f>SUMIFS('0503 4度C'!$Y:$Y,'0503 4度C'!$A:$A,"新豐3線",'0503 4度C'!$B:$B,"平均")</f>
        <v>0</v>
      </c>
      <c r="I18" s="96">
        <f>SUMIFS('0503 4度C'!$Y:$Y,'0503 4度C'!$A:$A,"新豐1線",'0503 4度C'!$B:$B,"平均")</f>
        <v>0</v>
      </c>
      <c r="J18" s="97">
        <f>SUMIFS('0503 4度C'!$Y:$Y,'0503 4度C'!$A:$A,"新豐10線",'0503 4度C'!$B:$B,"平均")</f>
        <v>0</v>
      </c>
      <c r="K18" s="98">
        <f>SUMIFS('0503 4度C'!$Y:$Y,'0503 4度C'!$A:$A,"新豐8線",'0503 4度C'!$B:$B,"平均")</f>
        <v>0</v>
      </c>
      <c r="L18" s="96">
        <f>SUMIFS('0503 4度C'!$Y:$Y,'0503 4度C'!$A:$A,"新豐9線",'0503 4度C'!$B:$B,"平均")</f>
        <v>0</v>
      </c>
      <c r="M18" s="97">
        <f>SUMIFS('0503 4度C'!$Y:$Y,'0503 4度C'!$A:$A,"新豐4線",'0503 4度C'!$B:$B,"平均")</f>
        <v>0</v>
      </c>
    </row>
    <row r="19" spans="2:13" ht="17.25" customHeight="1">
      <c r="B19" s="506"/>
      <c r="C19" s="94" t="s">
        <v>325</v>
      </c>
      <c r="D19" s="95">
        <f>SUMIFS('0503 4度C'!$Z:$Z,'0503 4度C'!$A:$A,"新豐6線",'0503 4度C'!$B:$B,"平均")</f>
        <v>0</v>
      </c>
      <c r="E19" s="96">
        <f>SUMIFS('0503 4度C'!$Z:$Z,'0503 4度C'!$A:$A,"新豐2線",'0503 4度C'!$B:$B,"平均")</f>
        <v>0</v>
      </c>
      <c r="F19" s="96">
        <f>SUMIFS('0503 4度C'!$Z:$Z,'0503 4度C'!$A:$A,"新豐5線",'0503 4度C'!$B:$B,"平均")</f>
        <v>0</v>
      </c>
      <c r="G19" s="96">
        <f>SUMIFS('0503 4度C'!$Z:$Z,'0503 4度C'!$A:$A,"新豐7線",'0503 4度C'!$B:$B,"平均")</f>
        <v>0</v>
      </c>
      <c r="H19" s="96">
        <f>SUMIFS('0503 4度C'!$Z:$Z,'0503 4度C'!$A:$A,"新豐3線",'0503 4度C'!$B:$B,"平均")</f>
        <v>0</v>
      </c>
      <c r="I19" s="96">
        <f>SUMIFS('0503 4度C'!$Z:$Z,'0503 4度C'!$A:$A,"新豐1線",'0503 4度C'!$B:$B,"平均")</f>
        <v>0</v>
      </c>
      <c r="J19" s="97">
        <f>SUMIFS('0503 4度C'!$Z:$Z,'0503 4度C'!$A:$A,"新豐10線",'0503 4度C'!$B:$B,"平均")</f>
        <v>0</v>
      </c>
      <c r="K19" s="98">
        <f>SUMIFS('0503 4度C'!$Z:$Z,'0503 4度C'!$A:$A,"新豐8線",'0503 4度C'!$B:$B,"平均")</f>
        <v>0</v>
      </c>
      <c r="L19" s="96">
        <f>SUMIFS('0503 4度C'!$Z:$Z,'0503 4度C'!$A:$A,"新豐9線",'0503 4度C'!$B:$B,"平均")</f>
        <v>0</v>
      </c>
      <c r="M19" s="97">
        <f>SUMIFS('0503 4度C'!$Z:$Z,'0503 4度C'!$A:$A,"新豐4線",'0503 4度C'!$B:$B,"平均")</f>
        <v>0</v>
      </c>
    </row>
    <row r="20" spans="2:13" ht="17.25" customHeight="1">
      <c r="B20" s="505" t="s">
        <v>326</v>
      </c>
      <c r="C20" s="94" t="s">
        <v>324</v>
      </c>
      <c r="D20" s="95">
        <f>SUMIFS('0503 4度C'!$AC:$AC,'0503 4度C'!$A:$A,"新豐6線",'0503 4度C'!$B:$B,"平均")</f>
        <v>5</v>
      </c>
      <c r="E20" s="96">
        <f>SUMIFS('0503 4度C'!$AC:$AC,'0503 4度C'!$A:$A,"新豐2線",'0503 4度C'!$B:$B,"平均")</f>
        <v>4</v>
      </c>
      <c r="F20" s="96">
        <f>SUMIFS('0503 4度C'!$AC:$AC,'0503 4度C'!$A:$A,"新豐5線",'0503 4度C'!$B:$B,"平均")</f>
        <v>8</v>
      </c>
      <c r="G20" s="96">
        <f>SUMIFS('0503 4度C'!$AC:$AC,'0503 4度C'!$A:$A,"新豐7線",'0503 4度C'!$B:$B,"平均")</f>
        <v>6</v>
      </c>
      <c r="H20" s="96">
        <f>SUMIFS('0503 4度C'!$AC:$AC,'0503 4度C'!$A:$A,"新豐3線",'0503 4度C'!$B:$B,"平均")</f>
        <v>5</v>
      </c>
      <c r="I20" s="96">
        <f>SUMIFS('0503 4度C'!$AC:$AC,'0503 4度C'!$A:$A,"新豐1線",'0503 4度C'!$B:$B,"平均")</f>
        <v>7</v>
      </c>
      <c r="J20" s="97">
        <f>SUMIFS('0503 4度C'!$AC:$AC,'0503 4度C'!$A:$A,"新豐10線",'0503 4度C'!$B:$B,"平均")</f>
        <v>6</v>
      </c>
      <c r="K20" s="98">
        <f>SUMIFS('0503 4度C'!$AC:$AC,'0503 4度C'!$A:$A,"新豐8線",'0503 4度C'!$B:$B,"平均")</f>
        <v>7</v>
      </c>
      <c r="L20" s="96">
        <f>SUMIFS('0503 4度C'!$AC:$AC,'0503 4度C'!$A:$A,"新豐9線",'0503 4度C'!$B:$B,"平均")</f>
        <v>7</v>
      </c>
      <c r="M20" s="97">
        <f>SUMIFS('0503 4度C'!$AC:$AC,'0503 4度C'!$A:$A,"新豐4線",'0503 4度C'!$B:$B,"平均")</f>
        <v>5</v>
      </c>
    </row>
    <row r="21" spans="2:13" ht="17.25" customHeight="1">
      <c r="B21" s="506"/>
      <c r="C21" s="94" t="s">
        <v>327</v>
      </c>
      <c r="D21" s="95">
        <f>SUMIFS('0503 4度C'!$AD:$AD,'0503 4度C'!$A:$A,"新豐6線",'0503 4度C'!$B:$B,"平均")</f>
        <v>0</v>
      </c>
      <c r="E21" s="96">
        <f>SUMIFS('0503 4度C'!$AD:$AD,'0503 4度C'!$A:$A,"新豐2線",'0503 4度C'!$B:$B,"平均")</f>
        <v>0</v>
      </c>
      <c r="F21" s="96">
        <f>SUMIFS('0503 4度C'!$AD:$AD,'0503 4度C'!$A:$A,"新豐5線",'0503 4度C'!$B:$B,"平均")</f>
        <v>0</v>
      </c>
      <c r="G21" s="96">
        <f>SUMIFS('0503 4度C'!$AD:$AD,'0503 4度C'!$A:$A,"新豐7線",'0503 4度C'!$B:$B,"平均")</f>
        <v>0</v>
      </c>
      <c r="H21" s="96">
        <f>SUMIFS('0503 4度C'!$AD:$AD,'0503 4度C'!$A:$A,"新豐3線",'0503 4度C'!$B:$B,"平均")</f>
        <v>0</v>
      </c>
      <c r="I21" s="96">
        <f>SUMIFS('0503 4度C'!$AD:$AD,'0503 4度C'!$A:$A,"新豐1線",'0503 4度C'!$B:$B,"平均")</f>
        <v>0</v>
      </c>
      <c r="J21" s="97">
        <f>SUMIFS('0503 4度C'!$AD:$AD,'0503 4度C'!$A:$A,"新豐10線",'0503 4度C'!$B:$B,"平均")</f>
        <v>0</v>
      </c>
      <c r="K21" s="98">
        <f>SUMIFS('0503 4度C'!$AD:$AD,'0503 4度C'!$A:$A,"新豐8線",'0503 4度C'!$B:$B,"平均")</f>
        <v>0</v>
      </c>
      <c r="L21" s="96">
        <f>SUMIFS('0503 4度C'!$AD:$AD,'0503 4度C'!$A:$A,"新豐9線",'0503 4度C'!$B:$B,"平均")</f>
        <v>0</v>
      </c>
      <c r="M21" s="97">
        <f>SUMIFS('0503 4度C'!$AD:$AD,'0503 4度C'!$A:$A,"新豐4線",'0503 4度C'!$B:$B,"平均")</f>
        <v>0</v>
      </c>
    </row>
    <row r="22" spans="2:13" ht="17.25" customHeight="1">
      <c r="B22" s="507" t="s">
        <v>328</v>
      </c>
      <c r="C22" s="508"/>
      <c r="D22" s="99">
        <f>SUMIFS('0503 4度C'!$I:$I,'0503 4度C'!$A:$A,"新豐6線",'0503 4度C'!$B:$B,"平均")</f>
        <v>16.399999999999999</v>
      </c>
      <c r="E22" s="100">
        <f>SUMIFS('0503 4度C'!$I:$I,'0503 4度C'!$A:$A,"新豐2線",'0503 4度C'!$B:$B,"平均")</f>
        <v>18</v>
      </c>
      <c r="F22" s="100">
        <f>SUMIFS('0503 4度C'!$I:$I,'0503 4度C'!$A:$A,"新豐5線",'0503 4度C'!$B:$B,"平均")</f>
        <v>17.625</v>
      </c>
      <c r="G22" s="100">
        <f>SUMIFS('0503 4度C'!$I:$I,'0503 4度C'!$A:$A,"新豐7線",'0503 4度C'!$B:$B,"平均")</f>
        <v>15.833333333333334</v>
      </c>
      <c r="H22" s="100">
        <f>SUMIFS('0503 4度C'!$I:$I,'0503 4度C'!$A:$A,"新豐3線",'0503 4度C'!$B:$B,"平均")</f>
        <v>10.6</v>
      </c>
      <c r="I22" s="100">
        <f>SUMIFS('0503 4度C'!$I:$I,'0503 4度C'!$A:$A,"新豐1線",'0503 4度C'!$B:$B,"平均")</f>
        <v>19.285714285714285</v>
      </c>
      <c r="J22" s="101">
        <f>SUMIFS('0503 4度C'!$I:$I,'0503 4度C'!$A:$A,"新豐10線",'0503 4度C'!$B:$B,"平均")</f>
        <v>9.5</v>
      </c>
      <c r="K22" s="99">
        <f>SUMIFS('0503 4度C'!$I:$I,'0503 4度C'!$A:$A,"新豐8線",'0503 4度C'!$B:$B,"平均")</f>
        <v>17.142857142857142</v>
      </c>
      <c r="L22" s="100">
        <f>SUMIFS('0503 4度C'!$I:$I,'0503 4度C'!$A:$A,"新豐9線",'0503 4度C'!$B:$B,"平均")</f>
        <v>16.142857142857142</v>
      </c>
      <c r="M22" s="101">
        <f>SUMIFS('0503 4度C'!$I:$I,'0503 4度C'!$A:$A,"新豐4線",'0503 4度C'!$B:$B,"平均")</f>
        <v>15.8</v>
      </c>
    </row>
    <row r="23" spans="2:13" ht="17.25" customHeight="1">
      <c r="B23" s="507" t="s">
        <v>329</v>
      </c>
      <c r="C23" s="508"/>
      <c r="D23" s="102" t="s">
        <v>177</v>
      </c>
      <c r="E23" s="103" t="s">
        <v>178</v>
      </c>
      <c r="F23" s="103" t="s">
        <v>330</v>
      </c>
      <c r="G23" s="103" t="s">
        <v>330</v>
      </c>
      <c r="H23" s="103" t="s">
        <v>180</v>
      </c>
      <c r="I23" s="103" t="s">
        <v>177</v>
      </c>
      <c r="J23" s="104" t="s">
        <v>180</v>
      </c>
      <c r="K23" s="102" t="s">
        <v>331</v>
      </c>
      <c r="L23" s="103" t="s">
        <v>331</v>
      </c>
      <c r="M23" s="104" t="s">
        <v>331</v>
      </c>
    </row>
    <row r="24" spans="2:13" ht="17.25" customHeight="1">
      <c r="B24" s="507" t="s">
        <v>332</v>
      </c>
      <c r="C24" s="508"/>
      <c r="D24" s="102"/>
      <c r="E24" s="103"/>
      <c r="F24" s="103" t="s">
        <v>333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334</v>
      </c>
      <c r="C25" s="510"/>
      <c r="D25" s="105"/>
      <c r="E25" s="106" t="s">
        <v>335</v>
      </c>
      <c r="F25" s="503" t="s">
        <v>336</v>
      </c>
      <c r="G25" s="504"/>
      <c r="H25" s="106" t="s">
        <v>337</v>
      </c>
      <c r="I25" s="106" t="s">
        <v>338</v>
      </c>
      <c r="J25" s="107" t="s">
        <v>337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1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2">
    <pageSetUpPr fitToPage="1"/>
  </sheetPr>
  <dimension ref="A1:AG75"/>
  <sheetViews>
    <sheetView topLeftCell="B1" zoomScale="80" zoomScaleNormal="80" workbookViewId="0">
      <pane ySplit="4" topLeftCell="A5" activePane="bottomLeft" state="frozen"/>
      <selection activeCell="D10" sqref="D10:J10"/>
      <selection pane="bottomLeft" activeCell="D10" sqref="D10:J1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339</v>
      </c>
      <c r="B1" s="1"/>
      <c r="C1" s="2" t="s">
        <v>340</v>
      </c>
      <c r="D1" s="3">
        <f>SUM(F5:F74)</f>
        <v>216991</v>
      </c>
      <c r="E1" s="112" t="s">
        <v>341</v>
      </c>
      <c r="F1" s="1">
        <f>SUM(G5:G74)</f>
        <v>7267750.6399999987</v>
      </c>
      <c r="G1" s="1" t="s">
        <v>342</v>
      </c>
      <c r="H1" s="5">
        <f>L10+L15+L53+L61+L24+L68+L39+L47+L31+L74</f>
        <v>156.32976190476191</v>
      </c>
      <c r="I1" s="617" t="s">
        <v>343</v>
      </c>
      <c r="J1" s="617"/>
      <c r="K1" s="617"/>
      <c r="L1" s="617" t="s">
        <v>344</v>
      </c>
      <c r="M1" s="617"/>
      <c r="N1" s="617"/>
      <c r="O1" s="617" t="s">
        <v>345</v>
      </c>
      <c r="P1" s="617"/>
      <c r="Q1" s="617"/>
      <c r="R1" s="617"/>
      <c r="S1" s="617" t="s">
        <v>346</v>
      </c>
      <c r="T1" s="617"/>
      <c r="U1" s="617"/>
      <c r="V1" s="617"/>
      <c r="W1" s="617"/>
      <c r="X1" s="617"/>
      <c r="Y1" s="6" t="s">
        <v>347</v>
      </c>
      <c r="Z1" s="7" t="s">
        <v>348</v>
      </c>
      <c r="AA1" s="618" t="s">
        <v>349</v>
      </c>
      <c r="AB1" s="618"/>
      <c r="AC1" s="121" t="s">
        <v>350</v>
      </c>
      <c r="AD1" s="7" t="s">
        <v>351</v>
      </c>
      <c r="AE1" s="617" t="s">
        <v>352</v>
      </c>
      <c r="AF1" s="619"/>
      <c r="AG1" s="619"/>
    </row>
    <row r="2" spans="1:33" ht="26.25" customHeight="1">
      <c r="A2" s="37">
        <v>46145</v>
      </c>
      <c r="B2" s="38" t="s">
        <v>353</v>
      </c>
      <c r="C2" s="2" t="s">
        <v>354</v>
      </c>
      <c r="D2" s="10">
        <f>AVERAGE(N10,N15,N53,N61,N24,N68,N31,N39,N47,N74)</f>
        <v>148.47714098335544</v>
      </c>
      <c r="E2" s="11" t="s">
        <v>14</v>
      </c>
      <c r="F2" s="12">
        <f>F1/D1</f>
        <v>33.493327557364125</v>
      </c>
      <c r="G2" s="1" t="s">
        <v>355</v>
      </c>
      <c r="H2" s="120">
        <f>COUNT(H5:H74)</f>
        <v>13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SUM(Y10+Y15+Y24+Y31+Y39+Y47+Y53+Y61+Y68+Y74)</f>
        <v>0</v>
      </c>
      <c r="Z2" s="14">
        <f>SUM(Z10+Z15+Z24+Z31+Z39+Z47+Z53+Z61+Z68+Z74)</f>
        <v>0</v>
      </c>
      <c r="AA2" s="618"/>
      <c r="AB2" s="618"/>
      <c r="AC2" s="122">
        <v>60</v>
      </c>
      <c r="AD2" s="14">
        <f>SUM(AD10+AD15+AD24+AD31+AD39+AD47+AD53+AD61+AD68+AD74)</f>
        <v>0</v>
      </c>
      <c r="AE2" s="619"/>
      <c r="AF2" s="619"/>
      <c r="AG2" s="619"/>
    </row>
    <row r="3" spans="1:33" ht="40.5" customHeight="1">
      <c r="A3" s="575" t="s">
        <v>356</v>
      </c>
      <c r="B3" s="575" t="s">
        <v>357</v>
      </c>
      <c r="C3" s="575" t="s">
        <v>358</v>
      </c>
      <c r="D3" s="575"/>
      <c r="E3" s="615" t="s">
        <v>359</v>
      </c>
      <c r="F3" s="575" t="s">
        <v>360</v>
      </c>
      <c r="G3" s="615" t="s">
        <v>361</v>
      </c>
      <c r="H3" s="608" t="s">
        <v>362</v>
      </c>
      <c r="I3" s="606" t="s">
        <v>363</v>
      </c>
      <c r="J3" s="603" t="s">
        <v>364</v>
      </c>
      <c r="K3" s="613" t="s">
        <v>354</v>
      </c>
      <c r="L3" s="606" t="s">
        <v>363</v>
      </c>
      <c r="M3" s="603" t="s">
        <v>364</v>
      </c>
      <c r="N3" s="613" t="s">
        <v>354</v>
      </c>
      <c r="O3" s="606" t="s">
        <v>363</v>
      </c>
      <c r="P3" s="613" t="s">
        <v>365</v>
      </c>
      <c r="Q3" s="604" t="s">
        <v>366</v>
      </c>
      <c r="R3" s="582" t="s">
        <v>367</v>
      </c>
      <c r="S3" s="614" t="s">
        <v>28</v>
      </c>
      <c r="T3" s="614"/>
      <c r="U3" s="608" t="s">
        <v>29</v>
      </c>
      <c r="V3" s="608" t="s">
        <v>368</v>
      </c>
      <c r="W3" s="575" t="s">
        <v>369</v>
      </c>
      <c r="X3" s="575"/>
      <c r="Y3" s="609" t="s">
        <v>370</v>
      </c>
      <c r="Z3" s="572"/>
      <c r="AA3" s="610" t="s">
        <v>371</v>
      </c>
      <c r="AB3" s="611"/>
      <c r="AC3" s="609" t="s">
        <v>372</v>
      </c>
      <c r="AD3" s="572"/>
      <c r="AE3" s="603" t="s">
        <v>373</v>
      </c>
      <c r="AF3" s="604" t="s">
        <v>374</v>
      </c>
      <c r="AG3" s="582" t="s">
        <v>375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123" t="s">
        <v>36</v>
      </c>
      <c r="T4" s="123" t="s">
        <v>37</v>
      </c>
      <c r="U4" s="608"/>
      <c r="V4" s="608"/>
      <c r="W4" s="112" t="s">
        <v>376</v>
      </c>
      <c r="X4" s="112" t="s">
        <v>377</v>
      </c>
      <c r="Y4" s="110" t="s">
        <v>378</v>
      </c>
      <c r="Z4" s="110" t="s">
        <v>379</v>
      </c>
      <c r="AA4" s="612"/>
      <c r="AB4" s="611"/>
      <c r="AC4" s="110" t="s">
        <v>380</v>
      </c>
      <c r="AD4" s="110" t="s">
        <v>381</v>
      </c>
      <c r="AE4" s="603"/>
      <c r="AF4" s="604"/>
      <c r="AG4" s="582"/>
    </row>
    <row r="5" spans="1:33">
      <c r="A5" s="605" t="s">
        <v>382</v>
      </c>
      <c r="B5" s="39" t="s">
        <v>74</v>
      </c>
      <c r="C5" s="607" t="s">
        <v>75</v>
      </c>
      <c r="D5" s="607"/>
      <c r="E5" s="39">
        <v>50.67</v>
      </c>
      <c r="F5" s="123">
        <v>1571</v>
      </c>
      <c r="G5" s="112">
        <f t="shared" ref="G5:G9" si="0">E5*F5</f>
        <v>79602.570000000007</v>
      </c>
      <c r="H5" s="48" t="s">
        <v>126</v>
      </c>
      <c r="I5" s="118">
        <v>17</v>
      </c>
      <c r="J5" s="43">
        <v>2000</v>
      </c>
      <c r="K5" s="18">
        <f t="shared" ref="K5:K68" si="1">J5/I5</f>
        <v>117.64705882352941</v>
      </c>
      <c r="L5" s="118">
        <v>17</v>
      </c>
      <c r="M5" s="19">
        <f t="shared" ref="M5:M9" si="2">F5/V5*60</f>
        <v>1923.6734693877556</v>
      </c>
      <c r="N5" s="18">
        <f t="shared" ref="N5:N68" si="3">M5/L5</f>
        <v>113.1572629051621</v>
      </c>
      <c r="O5" s="20">
        <f t="shared" ref="O5:O68" si="4">L5-I5</f>
        <v>0</v>
      </c>
      <c r="P5" s="21">
        <f t="shared" ref="P5:P68" si="5">N5-K5</f>
        <v>-4.4897959183673066</v>
      </c>
      <c r="Q5" s="111">
        <f t="shared" ref="Q5:Q68" si="6">N5/K5</f>
        <v>0.96183673469387787</v>
      </c>
      <c r="R5" s="573">
        <f>Q10</f>
        <v>0.96110004752369926</v>
      </c>
      <c r="S5" s="49">
        <v>0.70833333333333337</v>
      </c>
      <c r="T5" s="49">
        <v>0.74236111111111114</v>
      </c>
      <c r="U5" s="112"/>
      <c r="V5" s="119">
        <f t="shared" ref="V5:V9" si="7">(T5-S5)*24*60</f>
        <v>48.999999999999986</v>
      </c>
      <c r="W5" s="25"/>
      <c r="X5" s="26"/>
      <c r="Y5" s="26"/>
      <c r="Z5" s="26"/>
      <c r="AA5" s="575"/>
      <c r="AB5" s="575"/>
      <c r="AC5" s="50">
        <v>5</v>
      </c>
      <c r="AD5" s="27"/>
      <c r="AE5" s="20">
        <f t="shared" ref="AE5:AE60" si="8">M5-J5</f>
        <v>-76.326530612244369</v>
      </c>
      <c r="AF5" s="111">
        <f t="shared" ref="AF5:AF68" si="9">M5/J5</f>
        <v>0.96183673469387787</v>
      </c>
      <c r="AG5" s="573">
        <f>AF10</f>
        <v>0.96110004752369937</v>
      </c>
    </row>
    <row r="6" spans="1:33">
      <c r="A6" s="606" t="s">
        <v>383</v>
      </c>
      <c r="B6" s="39" t="s">
        <v>74</v>
      </c>
      <c r="C6" s="607" t="s">
        <v>76</v>
      </c>
      <c r="D6" s="607"/>
      <c r="E6" s="39">
        <v>54.09</v>
      </c>
      <c r="F6" s="123">
        <v>1303</v>
      </c>
      <c r="G6" s="112">
        <f t="shared" si="0"/>
        <v>70479.27</v>
      </c>
      <c r="H6" s="48" t="s">
        <v>126</v>
      </c>
      <c r="I6" s="118">
        <v>19</v>
      </c>
      <c r="J6" s="43">
        <v>2000</v>
      </c>
      <c r="K6" s="18">
        <f t="shared" si="1"/>
        <v>105.26315789473684</v>
      </c>
      <c r="L6" s="118">
        <v>19</v>
      </c>
      <c r="M6" s="19">
        <f t="shared" si="2"/>
        <v>1906.8292682926824</v>
      </c>
      <c r="N6" s="18">
        <f t="shared" si="3"/>
        <v>100.35943517329908</v>
      </c>
      <c r="O6" s="20">
        <f t="shared" si="4"/>
        <v>0</v>
      </c>
      <c r="P6" s="21">
        <f t="shared" si="5"/>
        <v>-4.9037227214377594</v>
      </c>
      <c r="Q6" s="111">
        <f t="shared" si="6"/>
        <v>0.95341463414634131</v>
      </c>
      <c r="R6" s="573"/>
      <c r="S6" s="49">
        <v>0.74791666666666667</v>
      </c>
      <c r="T6" s="49">
        <v>0.77638888888888891</v>
      </c>
      <c r="U6" s="112">
        <f t="shared" ref="U6:U9" si="10">IF(S6=TIME(17,0,0),"",(S6-T5)*24*60)</f>
        <v>7.9999999999999716</v>
      </c>
      <c r="V6" s="119">
        <f t="shared" si="7"/>
        <v>41.000000000000014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-93.1707317073176</v>
      </c>
      <c r="AF6" s="111">
        <f t="shared" si="9"/>
        <v>0.9534146341463412</v>
      </c>
      <c r="AG6" s="573"/>
    </row>
    <row r="7" spans="1:33">
      <c r="A7" s="606" t="s">
        <v>384</v>
      </c>
      <c r="B7" s="39" t="s">
        <v>74</v>
      </c>
      <c r="C7" s="598" t="s">
        <v>77</v>
      </c>
      <c r="D7" s="599"/>
      <c r="E7" s="39">
        <v>50.67</v>
      </c>
      <c r="F7" s="123">
        <v>800</v>
      </c>
      <c r="G7" s="112">
        <f t="shared" si="0"/>
        <v>40536</v>
      </c>
      <c r="H7" s="48">
        <v>2</v>
      </c>
      <c r="I7" s="118">
        <v>15</v>
      </c>
      <c r="J7" s="43">
        <v>2000</v>
      </c>
      <c r="K7" s="18">
        <f t="shared" si="1"/>
        <v>133.33333333333334</v>
      </c>
      <c r="L7" s="118">
        <v>15</v>
      </c>
      <c r="M7" s="19">
        <f t="shared" si="2"/>
        <v>1919.9999999999945</v>
      </c>
      <c r="N7" s="18">
        <f t="shared" si="3"/>
        <v>127.99999999999963</v>
      </c>
      <c r="O7" s="20">
        <f t="shared" si="4"/>
        <v>0</v>
      </c>
      <c r="P7" s="21">
        <f t="shared" si="5"/>
        <v>-5.3333333333337123</v>
      </c>
      <c r="Q7" s="111">
        <f t="shared" si="6"/>
        <v>0.95999999999999719</v>
      </c>
      <c r="R7" s="573"/>
      <c r="S7" s="49">
        <v>0.78055555555555556</v>
      </c>
      <c r="T7" s="49">
        <v>0.79791666666666672</v>
      </c>
      <c r="U7" s="112">
        <f t="shared" si="10"/>
        <v>5.9999999999999787</v>
      </c>
      <c r="V7" s="119">
        <f t="shared" si="7"/>
        <v>25.000000000000071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-80.000000000005457</v>
      </c>
      <c r="AF7" s="111">
        <f t="shared" si="9"/>
        <v>0.9599999999999973</v>
      </c>
      <c r="AG7" s="573"/>
    </row>
    <row r="8" spans="1:33">
      <c r="A8" s="606" t="s">
        <v>383</v>
      </c>
      <c r="B8" s="39" t="s">
        <v>74</v>
      </c>
      <c r="C8" s="598" t="s">
        <v>78</v>
      </c>
      <c r="D8" s="599"/>
      <c r="E8" s="39">
        <v>52.86</v>
      </c>
      <c r="F8" s="123">
        <v>2085</v>
      </c>
      <c r="G8" s="112">
        <f t="shared" si="0"/>
        <v>110213.1</v>
      </c>
      <c r="H8" s="48" t="s">
        <v>126</v>
      </c>
      <c r="I8" s="118">
        <v>16</v>
      </c>
      <c r="J8" s="43">
        <v>2000</v>
      </c>
      <c r="K8" s="18">
        <f t="shared" si="1"/>
        <v>125</v>
      </c>
      <c r="L8" s="118">
        <v>16</v>
      </c>
      <c r="M8" s="19">
        <f t="shared" si="2"/>
        <v>1924.6153846153866</v>
      </c>
      <c r="N8" s="18">
        <f t="shared" si="3"/>
        <v>120.28846153846166</v>
      </c>
      <c r="O8" s="20">
        <f t="shared" si="4"/>
        <v>0</v>
      </c>
      <c r="P8" s="21">
        <f t="shared" si="5"/>
        <v>-4.7115384615383391</v>
      </c>
      <c r="Q8" s="111">
        <f t="shared" si="6"/>
        <v>0.96230769230769331</v>
      </c>
      <c r="R8" s="573"/>
      <c r="S8" s="49">
        <v>0.80208333333333337</v>
      </c>
      <c r="T8" s="49">
        <v>0.84722222222222221</v>
      </c>
      <c r="U8" s="112">
        <f t="shared" si="10"/>
        <v>5.9999999999999787</v>
      </c>
      <c r="V8" s="119">
        <f t="shared" si="7"/>
        <v>64.999999999999929</v>
      </c>
      <c r="W8" s="25">
        <f>T8</f>
        <v>0.84722222222222221</v>
      </c>
      <c r="X8" s="25">
        <f>S9</f>
        <v>0.8881944444444444</v>
      </c>
      <c r="Y8" s="31"/>
      <c r="Z8" s="31"/>
      <c r="AA8" s="568"/>
      <c r="AB8" s="569"/>
      <c r="AC8" s="50"/>
      <c r="AD8" s="29"/>
      <c r="AE8" s="20">
        <f t="shared" si="8"/>
        <v>-75.384615384613426</v>
      </c>
      <c r="AF8" s="111">
        <f t="shared" si="9"/>
        <v>0.96230769230769331</v>
      </c>
      <c r="AG8" s="573"/>
    </row>
    <row r="9" spans="1:33">
      <c r="A9" s="606" t="s">
        <v>385</v>
      </c>
      <c r="B9" s="39" t="s">
        <v>74</v>
      </c>
      <c r="C9" s="598" t="s">
        <v>77</v>
      </c>
      <c r="D9" s="599"/>
      <c r="E9" s="39">
        <v>50.67</v>
      </c>
      <c r="F9" s="123">
        <v>1097</v>
      </c>
      <c r="G9" s="112">
        <f t="shared" si="0"/>
        <v>55584.990000000005</v>
      </c>
      <c r="H9" s="48" t="s">
        <v>126</v>
      </c>
      <c r="I9" s="118">
        <v>15</v>
      </c>
      <c r="J9" s="43">
        <v>2000</v>
      </c>
      <c r="K9" s="18">
        <f t="shared" si="1"/>
        <v>133.33333333333334</v>
      </c>
      <c r="L9" s="118">
        <v>15</v>
      </c>
      <c r="M9" s="19">
        <f t="shared" si="2"/>
        <v>1935.8823529411738</v>
      </c>
      <c r="N9" s="18">
        <f t="shared" si="3"/>
        <v>129.0588235294116</v>
      </c>
      <c r="O9" s="20">
        <f t="shared" si="4"/>
        <v>0</v>
      </c>
      <c r="P9" s="21">
        <f t="shared" si="5"/>
        <v>-4.2745098039217453</v>
      </c>
      <c r="Q9" s="111">
        <f t="shared" si="6"/>
        <v>0.96794117647058686</v>
      </c>
      <c r="R9" s="573"/>
      <c r="S9" s="49">
        <v>0.8881944444444444</v>
      </c>
      <c r="T9" s="49">
        <v>0.91180555555555554</v>
      </c>
      <c r="U9" s="112">
        <f t="shared" si="10"/>
        <v>58.99999999999995</v>
      </c>
      <c r="V9" s="119">
        <f t="shared" si="7"/>
        <v>34.000000000000043</v>
      </c>
      <c r="W9" s="25"/>
      <c r="X9" s="25"/>
      <c r="Y9" s="28"/>
      <c r="Z9" s="28"/>
      <c r="AA9" s="568"/>
      <c r="AB9" s="569"/>
      <c r="AC9" s="50"/>
      <c r="AD9" s="29"/>
      <c r="AE9" s="20">
        <f t="shared" si="8"/>
        <v>-64.117647058826151</v>
      </c>
      <c r="AF9" s="111">
        <f t="shared" si="9"/>
        <v>0.96794117647058697</v>
      </c>
      <c r="AG9" s="573"/>
    </row>
    <row r="10" spans="1:33">
      <c r="A10" s="606" t="s">
        <v>386</v>
      </c>
      <c r="B10" s="39" t="s">
        <v>387</v>
      </c>
      <c r="C10" s="576"/>
      <c r="D10" s="576"/>
      <c r="E10" s="113"/>
      <c r="F10" s="42"/>
      <c r="G10" s="18"/>
      <c r="H10" s="123"/>
      <c r="I10" s="32">
        <v>16.399999999999999</v>
      </c>
      <c r="J10" s="43">
        <v>2000</v>
      </c>
      <c r="K10" s="18">
        <f t="shared" si="1"/>
        <v>121.95121951219514</v>
      </c>
      <c r="L10" s="32">
        <v>16.399999999999999</v>
      </c>
      <c r="M10" s="19">
        <f>AVERAGE(M5:M9)</f>
        <v>1922.2000950473987</v>
      </c>
      <c r="N10" s="18">
        <f t="shared" si="3"/>
        <v>117.20732286874383</v>
      </c>
      <c r="O10" s="20">
        <f t="shared" si="4"/>
        <v>0</v>
      </c>
      <c r="P10" s="21">
        <f t="shared" si="5"/>
        <v>-4.7438966434513077</v>
      </c>
      <c r="Q10" s="111">
        <f t="shared" si="6"/>
        <v>0.96110004752369926</v>
      </c>
      <c r="R10" s="573"/>
      <c r="S10" s="49"/>
      <c r="T10" s="49"/>
      <c r="U10" s="112"/>
      <c r="V10" s="119"/>
      <c r="W10" s="18"/>
      <c r="X10" s="18"/>
      <c r="Y10" s="33">
        <f>SUM(Y5:Y9)</f>
        <v>0</v>
      </c>
      <c r="Z10" s="33">
        <f>SUM(Z5:Z9)</f>
        <v>0</v>
      </c>
      <c r="AA10" s="572"/>
      <c r="AB10" s="572"/>
      <c r="AC10" s="33">
        <v>5</v>
      </c>
      <c r="AD10" s="33">
        <f>SUM(AD5:AD9)</f>
        <v>0</v>
      </c>
      <c r="AE10" s="20">
        <f t="shared" si="8"/>
        <v>-77.79990495260131</v>
      </c>
      <c r="AF10" s="111">
        <f t="shared" si="9"/>
        <v>0.96110004752369937</v>
      </c>
      <c r="AG10" s="573"/>
    </row>
    <row r="11" spans="1:33" ht="15.75" customHeight="1">
      <c r="A11" s="602" t="s">
        <v>388</v>
      </c>
      <c r="B11" s="39" t="s">
        <v>79</v>
      </c>
      <c r="C11" s="598" t="s">
        <v>80</v>
      </c>
      <c r="D11" s="599"/>
      <c r="E11" s="39">
        <v>39.619999999999997</v>
      </c>
      <c r="F11" s="123">
        <v>3200</v>
      </c>
      <c r="G11" s="112">
        <f t="shared" ref="G11:G14" si="11">E11*F11</f>
        <v>126783.99999999999</v>
      </c>
      <c r="H11" s="48">
        <v>2</v>
      </c>
      <c r="I11" s="118">
        <v>19</v>
      </c>
      <c r="J11" s="43">
        <v>1500</v>
      </c>
      <c r="K11" s="18">
        <f t="shared" si="1"/>
        <v>78.94736842105263</v>
      </c>
      <c r="L11" s="118">
        <v>19</v>
      </c>
      <c r="M11" s="19">
        <f t="shared" ref="M11:M14" si="12">F11/V11*60</f>
        <v>1432.8358208955219</v>
      </c>
      <c r="N11" s="18">
        <f t="shared" si="3"/>
        <v>75.4124116260801</v>
      </c>
      <c r="O11" s="20">
        <f t="shared" si="4"/>
        <v>0</v>
      </c>
      <c r="P11" s="21">
        <f t="shared" si="5"/>
        <v>-3.5349567949725298</v>
      </c>
      <c r="Q11" s="111">
        <f t="shared" si="6"/>
        <v>0.95522388059701457</v>
      </c>
      <c r="R11" s="573">
        <f>Q15</f>
        <v>0.95528704682835019</v>
      </c>
      <c r="S11" s="49">
        <v>0.20833333333333334</v>
      </c>
      <c r="T11" s="49">
        <v>0.30138888888888893</v>
      </c>
      <c r="U11" s="112"/>
      <c r="V11" s="119">
        <f t="shared" ref="V11:V14" si="13">(T11-S11)*24*60</f>
        <v>134.00000000000006</v>
      </c>
      <c r="W11" s="25"/>
      <c r="X11" s="25"/>
      <c r="Y11" s="25"/>
      <c r="Z11" s="25"/>
      <c r="AA11" s="575"/>
      <c r="AB11" s="575"/>
      <c r="AC11" s="50">
        <v>4</v>
      </c>
      <c r="AD11" s="27"/>
      <c r="AE11" s="20">
        <f t="shared" si="8"/>
        <v>-67.16417910447808</v>
      </c>
      <c r="AF11" s="111">
        <f t="shared" si="9"/>
        <v>0.95522388059701457</v>
      </c>
      <c r="AG11" s="573">
        <f>AF15</f>
        <v>0.95528704682835031</v>
      </c>
    </row>
    <row r="12" spans="1:33" ht="15.75" customHeight="1">
      <c r="A12" s="602" t="s">
        <v>389</v>
      </c>
      <c r="B12" s="39" t="s">
        <v>79</v>
      </c>
      <c r="C12" s="598" t="s">
        <v>81</v>
      </c>
      <c r="D12" s="599"/>
      <c r="E12" s="39">
        <v>39.799999999999997</v>
      </c>
      <c r="F12" s="123">
        <v>5500</v>
      </c>
      <c r="G12" s="112">
        <f t="shared" si="11"/>
        <v>218899.99999999997</v>
      </c>
      <c r="H12" s="48">
        <v>2</v>
      </c>
      <c r="I12" s="118">
        <v>17</v>
      </c>
      <c r="J12" s="43">
        <v>1500</v>
      </c>
      <c r="K12" s="18">
        <f t="shared" si="1"/>
        <v>88.235294117647058</v>
      </c>
      <c r="L12" s="118">
        <v>17</v>
      </c>
      <c r="M12" s="19">
        <f t="shared" si="12"/>
        <v>1428.5714285714289</v>
      </c>
      <c r="N12" s="18">
        <f t="shared" si="3"/>
        <v>84.033613445378165</v>
      </c>
      <c r="O12" s="20">
        <f t="shared" si="4"/>
        <v>0</v>
      </c>
      <c r="P12" s="21">
        <f t="shared" si="5"/>
        <v>-4.2016806722688926</v>
      </c>
      <c r="Q12" s="111">
        <f t="shared" si="6"/>
        <v>0.95238095238095255</v>
      </c>
      <c r="R12" s="573"/>
      <c r="S12" s="49">
        <v>0.30694444444444446</v>
      </c>
      <c r="T12" s="49">
        <v>0.46736111111111112</v>
      </c>
      <c r="U12" s="112">
        <f t="shared" ref="U12:U14" si="14">IF(S12=TIME(17,0,0),"",(S12-T11)*24*60)</f>
        <v>7.9999999999999716</v>
      </c>
      <c r="V12" s="119">
        <f t="shared" si="13"/>
        <v>230.99999999999997</v>
      </c>
      <c r="W12" s="25">
        <f>T12</f>
        <v>0.46736111111111112</v>
      </c>
      <c r="X12" s="25">
        <f>S13</f>
        <v>0.50902777777777775</v>
      </c>
      <c r="Y12" s="25"/>
      <c r="Z12" s="25"/>
      <c r="AA12" s="575"/>
      <c r="AB12" s="575"/>
      <c r="AC12" s="50"/>
      <c r="AD12" s="27"/>
      <c r="AE12" s="20">
        <f t="shared" si="8"/>
        <v>-71.428571428571104</v>
      </c>
      <c r="AF12" s="111">
        <f t="shared" si="9"/>
        <v>0.95238095238095255</v>
      </c>
      <c r="AG12" s="573"/>
    </row>
    <row r="13" spans="1:33" ht="15.75" customHeight="1">
      <c r="A13" s="602" t="s">
        <v>389</v>
      </c>
      <c r="B13" s="39" t="s">
        <v>79</v>
      </c>
      <c r="C13" s="598" t="s">
        <v>81</v>
      </c>
      <c r="D13" s="599"/>
      <c r="E13" s="39">
        <v>39.799999999999997</v>
      </c>
      <c r="F13" s="123">
        <v>3148</v>
      </c>
      <c r="G13" s="112">
        <f t="shared" si="11"/>
        <v>125290.4</v>
      </c>
      <c r="H13" s="48" t="s">
        <v>126</v>
      </c>
      <c r="I13" s="118">
        <v>17</v>
      </c>
      <c r="J13" s="43">
        <v>1500</v>
      </c>
      <c r="K13" s="18">
        <f t="shared" si="1"/>
        <v>88.235294117647058</v>
      </c>
      <c r="L13" s="118">
        <v>17</v>
      </c>
      <c r="M13" s="19">
        <f t="shared" si="12"/>
        <v>1430.9090909090908</v>
      </c>
      <c r="N13" s="18">
        <f t="shared" si="3"/>
        <v>84.171122994652393</v>
      </c>
      <c r="O13" s="20">
        <f t="shared" si="4"/>
        <v>0</v>
      </c>
      <c r="P13" s="21">
        <f t="shared" si="5"/>
        <v>-4.0641711229946651</v>
      </c>
      <c r="Q13" s="111">
        <f t="shared" si="6"/>
        <v>0.95393939393939375</v>
      </c>
      <c r="R13" s="573"/>
      <c r="S13" s="49">
        <v>0.50902777777777775</v>
      </c>
      <c r="T13" s="49">
        <v>0.60069444444444442</v>
      </c>
      <c r="U13" s="112">
        <f t="shared" si="14"/>
        <v>59.999999999999943</v>
      </c>
      <c r="V13" s="119">
        <f t="shared" si="13"/>
        <v>132</v>
      </c>
      <c r="W13" s="25"/>
      <c r="X13" s="25"/>
      <c r="Y13" s="25"/>
      <c r="Z13" s="25"/>
      <c r="AA13" s="575"/>
      <c r="AB13" s="575"/>
      <c r="AC13" s="50"/>
      <c r="AD13" s="27"/>
      <c r="AE13" s="20">
        <f t="shared" si="8"/>
        <v>-69.090909090909236</v>
      </c>
      <c r="AF13" s="111">
        <f t="shared" si="9"/>
        <v>0.95393939393939386</v>
      </c>
      <c r="AG13" s="573"/>
    </row>
    <row r="14" spans="1:33" ht="15.75" customHeight="1">
      <c r="A14" s="602" t="s">
        <v>390</v>
      </c>
      <c r="B14" s="39" t="s">
        <v>79</v>
      </c>
      <c r="C14" s="598" t="s">
        <v>80</v>
      </c>
      <c r="D14" s="599"/>
      <c r="E14" s="39">
        <v>39.619999999999997</v>
      </c>
      <c r="F14" s="123">
        <v>2423</v>
      </c>
      <c r="G14" s="112">
        <f t="shared" si="11"/>
        <v>95999.26</v>
      </c>
      <c r="H14" s="48" t="s">
        <v>126</v>
      </c>
      <c r="I14" s="118">
        <v>19</v>
      </c>
      <c r="J14" s="43">
        <v>1500</v>
      </c>
      <c r="K14" s="18">
        <f t="shared" si="1"/>
        <v>78.94736842105263</v>
      </c>
      <c r="L14" s="118">
        <v>19</v>
      </c>
      <c r="M14" s="19">
        <f t="shared" si="12"/>
        <v>1439.4059405940602</v>
      </c>
      <c r="N14" s="18">
        <f t="shared" si="3"/>
        <v>75.758207399687379</v>
      </c>
      <c r="O14" s="20">
        <f t="shared" si="4"/>
        <v>0</v>
      </c>
      <c r="P14" s="21">
        <f t="shared" si="5"/>
        <v>-3.1891610213652513</v>
      </c>
      <c r="Q14" s="111">
        <f t="shared" si="6"/>
        <v>0.95960396039604012</v>
      </c>
      <c r="R14" s="573"/>
      <c r="S14" s="49">
        <v>0.60486111111111107</v>
      </c>
      <c r="T14" s="49">
        <v>0.67499999999999993</v>
      </c>
      <c r="U14" s="112">
        <f t="shared" si="14"/>
        <v>5.9999999999999787</v>
      </c>
      <c r="V14" s="119">
        <f t="shared" si="13"/>
        <v>100.99999999999996</v>
      </c>
      <c r="W14" s="25"/>
      <c r="X14" s="25"/>
      <c r="Y14" s="25"/>
      <c r="Z14" s="25"/>
      <c r="AA14" s="568"/>
      <c r="AB14" s="569"/>
      <c r="AC14" s="50"/>
      <c r="AD14" s="27"/>
      <c r="AE14" s="20">
        <f t="shared" si="8"/>
        <v>-60.594059405939788</v>
      </c>
      <c r="AF14" s="111">
        <f t="shared" si="9"/>
        <v>0.95960396039604012</v>
      </c>
      <c r="AG14" s="573"/>
    </row>
    <row r="15" spans="1:33" ht="16.5" customHeight="1">
      <c r="A15" s="602" t="s">
        <v>389</v>
      </c>
      <c r="B15" s="39" t="s">
        <v>391</v>
      </c>
      <c r="C15" s="576"/>
      <c r="D15" s="576"/>
      <c r="E15" s="113"/>
      <c r="F15" s="43"/>
      <c r="G15" s="19"/>
      <c r="H15" s="123"/>
      <c r="I15" s="32">
        <v>18</v>
      </c>
      <c r="J15" s="43">
        <v>1500</v>
      </c>
      <c r="K15" s="18">
        <f t="shared" si="1"/>
        <v>83.333333333333329</v>
      </c>
      <c r="L15" s="32">
        <v>18</v>
      </c>
      <c r="M15" s="19">
        <f>AVERAGE(M11:M14)</f>
        <v>1432.9305702425254</v>
      </c>
      <c r="N15" s="18">
        <f t="shared" si="3"/>
        <v>79.607253902362515</v>
      </c>
      <c r="O15" s="20">
        <f t="shared" si="4"/>
        <v>0</v>
      </c>
      <c r="P15" s="21">
        <f t="shared" si="5"/>
        <v>-3.7260794309708132</v>
      </c>
      <c r="Q15" s="111">
        <f t="shared" si="6"/>
        <v>0.95528704682835019</v>
      </c>
      <c r="R15" s="573"/>
      <c r="S15" s="49"/>
      <c r="T15" s="49"/>
      <c r="U15" s="18"/>
      <c r="V15" s="119"/>
      <c r="W15" s="18"/>
      <c r="X15" s="18"/>
      <c r="Y15" s="33">
        <f>SUM(Y11:Y14)</f>
        <v>0</v>
      </c>
      <c r="Z15" s="33">
        <f>SUM(Z11:Z14)</f>
        <v>0</v>
      </c>
      <c r="AA15" s="572"/>
      <c r="AB15" s="572"/>
      <c r="AC15" s="33">
        <v>4</v>
      </c>
      <c r="AD15" s="33">
        <f>SUM(AD11:AD14)</f>
        <v>0</v>
      </c>
      <c r="AE15" s="20">
        <f t="shared" si="8"/>
        <v>-67.069429757474609</v>
      </c>
      <c r="AF15" s="111">
        <f t="shared" si="9"/>
        <v>0.95528704682835031</v>
      </c>
      <c r="AG15" s="573"/>
    </row>
    <row r="16" spans="1:33" ht="16.5" customHeight="1">
      <c r="A16" s="600" t="s">
        <v>392</v>
      </c>
      <c r="B16" s="123" t="s">
        <v>82</v>
      </c>
      <c r="C16" s="594" t="s">
        <v>83</v>
      </c>
      <c r="D16" s="594"/>
      <c r="E16" s="39">
        <v>41</v>
      </c>
      <c r="F16" s="123">
        <v>2030</v>
      </c>
      <c r="G16" s="112">
        <f t="shared" ref="G16:G23" si="15">E16*F16</f>
        <v>83230</v>
      </c>
      <c r="H16" s="48" t="s">
        <v>126</v>
      </c>
      <c r="I16" s="118">
        <v>26</v>
      </c>
      <c r="J16" s="43">
        <v>1500</v>
      </c>
      <c r="K16" s="18">
        <f t="shared" si="1"/>
        <v>57.692307692307693</v>
      </c>
      <c r="L16" s="118">
        <v>26</v>
      </c>
      <c r="M16" s="19">
        <f t="shared" ref="M16:M23" si="16">F16/V16*60</f>
        <v>1432.9411764705885</v>
      </c>
      <c r="N16" s="18">
        <f t="shared" si="3"/>
        <v>55.113122171945712</v>
      </c>
      <c r="O16" s="20">
        <f t="shared" si="4"/>
        <v>0</v>
      </c>
      <c r="P16" s="21">
        <f t="shared" si="5"/>
        <v>-2.5791855203619818</v>
      </c>
      <c r="Q16" s="111">
        <f t="shared" si="6"/>
        <v>0.95529411764705896</v>
      </c>
      <c r="R16" s="573">
        <f>Q24</f>
        <v>0.95857994017088555</v>
      </c>
      <c r="S16" s="49">
        <v>8.3333333333333329E-2</v>
      </c>
      <c r="T16" s="49">
        <v>0.1423611111111111</v>
      </c>
      <c r="U16" s="112"/>
      <c r="V16" s="119">
        <f t="shared" ref="V16:V23" si="17">(T16-S16)*24*60</f>
        <v>84.999999999999986</v>
      </c>
      <c r="W16" s="25">
        <f>T16</f>
        <v>0.1423611111111111</v>
      </c>
      <c r="X16" s="25">
        <f>S17</f>
        <v>0.16041666666666665</v>
      </c>
      <c r="Y16" s="30"/>
      <c r="Z16" s="30"/>
      <c r="AA16" s="575"/>
      <c r="AB16" s="575"/>
      <c r="AC16" s="50">
        <v>8</v>
      </c>
      <c r="AD16" s="27"/>
      <c r="AE16" s="20">
        <f t="shared" si="8"/>
        <v>-67.058823529411484</v>
      </c>
      <c r="AF16" s="111">
        <f t="shared" si="9"/>
        <v>0.95529411764705896</v>
      </c>
      <c r="AG16" s="573">
        <f>AF24</f>
        <v>0.95857994017088555</v>
      </c>
    </row>
    <row r="17" spans="1:33" ht="16.5" customHeight="1">
      <c r="A17" s="601" t="s">
        <v>393</v>
      </c>
      <c r="B17" s="123" t="s">
        <v>94</v>
      </c>
      <c r="C17" s="594" t="s">
        <v>96</v>
      </c>
      <c r="D17" s="594"/>
      <c r="E17" s="39">
        <v>26.2</v>
      </c>
      <c r="F17" s="123">
        <v>9380</v>
      </c>
      <c r="G17" s="112">
        <f t="shared" si="15"/>
        <v>245756</v>
      </c>
      <c r="H17" s="48" t="s">
        <v>126</v>
      </c>
      <c r="I17" s="118">
        <v>20</v>
      </c>
      <c r="J17" s="43">
        <v>2400</v>
      </c>
      <c r="K17" s="18">
        <f t="shared" si="1"/>
        <v>120</v>
      </c>
      <c r="L17" s="118">
        <v>20</v>
      </c>
      <c r="M17" s="19">
        <f t="shared" si="16"/>
        <v>2287.8048780487816</v>
      </c>
      <c r="N17" s="18">
        <f t="shared" si="3"/>
        <v>114.39024390243908</v>
      </c>
      <c r="O17" s="20">
        <f t="shared" si="4"/>
        <v>0</v>
      </c>
      <c r="P17" s="21">
        <f t="shared" si="5"/>
        <v>-5.6097560975609184</v>
      </c>
      <c r="Q17" s="111">
        <f t="shared" si="6"/>
        <v>0.95325203252032564</v>
      </c>
      <c r="R17" s="573"/>
      <c r="S17" s="49">
        <v>0.16041666666666665</v>
      </c>
      <c r="T17" s="49">
        <v>0.33124999999999993</v>
      </c>
      <c r="U17" s="112">
        <f t="shared" ref="U17:U23" si="18">IF(S17=TIME(17,0,0),"",(S17-T16)*24*60)</f>
        <v>25.999999999999986</v>
      </c>
      <c r="V17" s="119">
        <f t="shared" si="17"/>
        <v>245.99999999999991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-112.19512195121843</v>
      </c>
      <c r="AF17" s="111">
        <f t="shared" si="9"/>
        <v>0.95325203252032564</v>
      </c>
      <c r="AG17" s="573"/>
    </row>
    <row r="18" spans="1:33" ht="16.5" customHeight="1">
      <c r="A18" s="601" t="s">
        <v>394</v>
      </c>
      <c r="B18" s="123" t="s">
        <v>94</v>
      </c>
      <c r="C18" s="594" t="s">
        <v>101</v>
      </c>
      <c r="D18" s="594"/>
      <c r="E18" s="39">
        <v>25.98</v>
      </c>
      <c r="F18" s="123">
        <v>4203</v>
      </c>
      <c r="G18" s="112">
        <f t="shared" si="15"/>
        <v>109193.94</v>
      </c>
      <c r="H18" s="48" t="s">
        <v>126</v>
      </c>
      <c r="I18" s="118">
        <v>21</v>
      </c>
      <c r="J18" s="43">
        <v>2400</v>
      </c>
      <c r="K18" s="18">
        <f t="shared" si="1"/>
        <v>114.28571428571429</v>
      </c>
      <c r="L18" s="118">
        <v>21</v>
      </c>
      <c r="M18" s="19">
        <f t="shared" si="16"/>
        <v>2292.545454545454</v>
      </c>
      <c r="N18" s="18">
        <f t="shared" si="3"/>
        <v>109.16883116883115</v>
      </c>
      <c r="O18" s="20">
        <f t="shared" si="4"/>
        <v>0</v>
      </c>
      <c r="P18" s="21">
        <f t="shared" si="5"/>
        <v>-5.1168831168831446</v>
      </c>
      <c r="Q18" s="111">
        <f t="shared" si="6"/>
        <v>0.95522727272727248</v>
      </c>
      <c r="R18" s="573"/>
      <c r="S18" s="49">
        <v>0.33541666666666659</v>
      </c>
      <c r="T18" s="49">
        <v>0.41180555555555548</v>
      </c>
      <c r="U18" s="112">
        <f t="shared" si="18"/>
        <v>5.9999999999999787</v>
      </c>
      <c r="V18" s="119">
        <f t="shared" si="17"/>
        <v>110.00000000000001</v>
      </c>
      <c r="W18" s="25"/>
      <c r="X18" s="25"/>
      <c r="Y18" s="25"/>
      <c r="Z18" s="25"/>
      <c r="AA18" s="575"/>
      <c r="AB18" s="575"/>
      <c r="AC18" s="50"/>
      <c r="AD18" s="27"/>
      <c r="AE18" s="20">
        <f t="shared" si="8"/>
        <v>-107.45454545454595</v>
      </c>
      <c r="AF18" s="111">
        <f t="shared" si="9"/>
        <v>0.95522727272727248</v>
      </c>
      <c r="AG18" s="573"/>
    </row>
    <row r="19" spans="1:33" ht="16.5" customHeight="1">
      <c r="A19" s="601" t="s">
        <v>50</v>
      </c>
      <c r="B19" s="123" t="s">
        <v>94</v>
      </c>
      <c r="C19" s="594" t="s">
        <v>123</v>
      </c>
      <c r="D19" s="594"/>
      <c r="E19" s="39">
        <v>20.21</v>
      </c>
      <c r="F19" s="123">
        <v>4134</v>
      </c>
      <c r="G19" s="112">
        <f t="shared" si="15"/>
        <v>83548.14</v>
      </c>
      <c r="H19" s="48" t="s">
        <v>126</v>
      </c>
      <c r="I19" s="118">
        <v>15</v>
      </c>
      <c r="J19" s="43">
        <v>2400</v>
      </c>
      <c r="K19" s="18">
        <f t="shared" si="1"/>
        <v>160</v>
      </c>
      <c r="L19" s="118">
        <v>15</v>
      </c>
      <c r="M19" s="19">
        <f t="shared" si="16"/>
        <v>2296.6666666666661</v>
      </c>
      <c r="N19" s="18">
        <f t="shared" si="3"/>
        <v>153.11111111111106</v>
      </c>
      <c r="O19" s="20">
        <f t="shared" si="4"/>
        <v>0</v>
      </c>
      <c r="P19" s="21">
        <f t="shared" si="5"/>
        <v>-6.8888888888889426</v>
      </c>
      <c r="Q19" s="111">
        <f t="shared" si="6"/>
        <v>0.95694444444444415</v>
      </c>
      <c r="R19" s="573"/>
      <c r="S19" s="49">
        <v>0.41736111111111102</v>
      </c>
      <c r="T19" s="49">
        <v>0.49236111111111103</v>
      </c>
      <c r="U19" s="112">
        <f t="shared" si="18"/>
        <v>7.9999999999999716</v>
      </c>
      <c r="V19" s="119">
        <f t="shared" si="17"/>
        <v>108.00000000000001</v>
      </c>
      <c r="W19" s="25"/>
      <c r="X19" s="25"/>
      <c r="Y19" s="25"/>
      <c r="Z19" s="25"/>
      <c r="AA19" s="575"/>
      <c r="AB19" s="575"/>
      <c r="AC19" s="50"/>
      <c r="AD19" s="27"/>
      <c r="AE19" s="20">
        <f t="shared" si="8"/>
        <v>-103.33333333333394</v>
      </c>
      <c r="AF19" s="111">
        <f t="shared" si="9"/>
        <v>0.95694444444444415</v>
      </c>
      <c r="AG19" s="573"/>
    </row>
    <row r="20" spans="1:33" ht="16.5" customHeight="1">
      <c r="A20" s="601" t="s">
        <v>393</v>
      </c>
      <c r="B20" s="123" t="s">
        <v>74</v>
      </c>
      <c r="C20" s="594" t="s">
        <v>85</v>
      </c>
      <c r="D20" s="594"/>
      <c r="E20" s="39">
        <v>53.68</v>
      </c>
      <c r="F20" s="123">
        <v>1344</v>
      </c>
      <c r="G20" s="112">
        <f t="shared" si="15"/>
        <v>72145.919999999998</v>
      </c>
      <c r="H20" s="48" t="s">
        <v>126</v>
      </c>
      <c r="I20" s="118">
        <v>16</v>
      </c>
      <c r="J20" s="43">
        <v>1500</v>
      </c>
      <c r="K20" s="18">
        <f t="shared" si="1"/>
        <v>93.75</v>
      </c>
      <c r="L20" s="118">
        <v>16</v>
      </c>
      <c r="M20" s="19">
        <f t="shared" si="16"/>
        <v>1440.0000000000011</v>
      </c>
      <c r="N20" s="18">
        <f t="shared" si="3"/>
        <v>90.000000000000071</v>
      </c>
      <c r="O20" s="20">
        <f t="shared" si="4"/>
        <v>0</v>
      </c>
      <c r="P20" s="21">
        <f t="shared" si="5"/>
        <v>-3.7499999999999289</v>
      </c>
      <c r="Q20" s="111">
        <f t="shared" si="6"/>
        <v>0.96000000000000074</v>
      </c>
      <c r="R20" s="573"/>
      <c r="S20" s="49">
        <v>0.70833333333333337</v>
      </c>
      <c r="T20" s="49">
        <v>0.74722222222222223</v>
      </c>
      <c r="U20" s="112" t="str">
        <f t="shared" si="18"/>
        <v/>
      </c>
      <c r="V20" s="119">
        <f t="shared" si="17"/>
        <v>55.999999999999957</v>
      </c>
      <c r="W20" s="25"/>
      <c r="X20" s="25"/>
      <c r="Y20" s="25"/>
      <c r="Z20" s="25"/>
      <c r="AA20" s="575"/>
      <c r="AB20" s="575"/>
      <c r="AC20" s="50"/>
      <c r="AD20" s="27"/>
      <c r="AE20" s="20">
        <f t="shared" si="8"/>
        <v>-59.999999999998863</v>
      </c>
      <c r="AF20" s="111">
        <f t="shared" si="9"/>
        <v>0.96000000000000074</v>
      </c>
      <c r="AG20" s="573"/>
    </row>
    <row r="21" spans="1:33" ht="16.5" customHeight="1">
      <c r="A21" s="601" t="s">
        <v>50</v>
      </c>
      <c r="B21" s="123" t="s">
        <v>74</v>
      </c>
      <c r="C21" s="137" t="s">
        <v>86</v>
      </c>
      <c r="D21" s="138"/>
      <c r="E21" s="39">
        <v>50.92</v>
      </c>
      <c r="F21" s="123">
        <v>1400</v>
      </c>
      <c r="G21" s="112">
        <f t="shared" si="15"/>
        <v>71288</v>
      </c>
      <c r="H21" s="48">
        <v>2</v>
      </c>
      <c r="I21" s="118">
        <v>15</v>
      </c>
      <c r="J21" s="43">
        <v>2000</v>
      </c>
      <c r="K21" s="18">
        <f t="shared" si="1"/>
        <v>133.33333333333334</v>
      </c>
      <c r="L21" s="118">
        <v>15</v>
      </c>
      <c r="M21" s="19">
        <f t="shared" si="16"/>
        <v>1909.090909090909</v>
      </c>
      <c r="N21" s="18">
        <f t="shared" si="3"/>
        <v>127.27272727272727</v>
      </c>
      <c r="O21" s="20">
        <f t="shared" si="4"/>
        <v>0</v>
      </c>
      <c r="P21" s="21">
        <f t="shared" si="5"/>
        <v>-6.0606060606060765</v>
      </c>
      <c r="Q21" s="111">
        <f t="shared" si="6"/>
        <v>0.95454545454545447</v>
      </c>
      <c r="R21" s="573"/>
      <c r="S21" s="49">
        <v>0.75208333333333333</v>
      </c>
      <c r="T21" s="49">
        <v>0.78263888888888888</v>
      </c>
      <c r="U21" s="112">
        <f t="shared" si="18"/>
        <v>6.9999999999999751</v>
      </c>
      <c r="V21" s="119">
        <f t="shared" si="17"/>
        <v>44</v>
      </c>
      <c r="W21" s="25"/>
      <c r="X21" s="25"/>
      <c r="Y21" s="28"/>
      <c r="Z21" s="28"/>
      <c r="AA21" s="116"/>
      <c r="AB21" s="117"/>
      <c r="AC21" s="50"/>
      <c r="AD21" s="27"/>
      <c r="AE21" s="20">
        <f t="shared" si="8"/>
        <v>-90.909090909090992</v>
      </c>
      <c r="AF21" s="111">
        <f t="shared" si="9"/>
        <v>0.95454545454545447</v>
      </c>
      <c r="AG21" s="573"/>
    </row>
    <row r="22" spans="1:33" ht="16.5" customHeight="1">
      <c r="A22" s="601" t="s">
        <v>393</v>
      </c>
      <c r="B22" s="123" t="s">
        <v>74</v>
      </c>
      <c r="C22" s="137" t="s">
        <v>87</v>
      </c>
      <c r="D22" s="138"/>
      <c r="E22" s="39">
        <v>57.3</v>
      </c>
      <c r="F22" s="123">
        <v>1924</v>
      </c>
      <c r="G22" s="112">
        <f t="shared" si="15"/>
        <v>110245.2</v>
      </c>
      <c r="H22" s="48" t="s">
        <v>126</v>
      </c>
      <c r="I22" s="118">
        <v>13</v>
      </c>
      <c r="J22" s="43">
        <v>2000</v>
      </c>
      <c r="K22" s="18">
        <f t="shared" si="1"/>
        <v>153.84615384615384</v>
      </c>
      <c r="L22" s="118">
        <v>13</v>
      </c>
      <c r="M22" s="19">
        <f t="shared" si="16"/>
        <v>1924.0000000000018</v>
      </c>
      <c r="N22" s="18">
        <f t="shared" si="3"/>
        <v>148.00000000000014</v>
      </c>
      <c r="O22" s="20">
        <f t="shared" si="4"/>
        <v>0</v>
      </c>
      <c r="P22" s="21">
        <f t="shared" si="5"/>
        <v>-5.8461538461536975</v>
      </c>
      <c r="Q22" s="111">
        <f t="shared" si="6"/>
        <v>0.96200000000000097</v>
      </c>
      <c r="R22" s="573"/>
      <c r="S22" s="49">
        <v>0.78611111111111109</v>
      </c>
      <c r="T22" s="49">
        <v>0.82777777777777772</v>
      </c>
      <c r="U22" s="112">
        <f t="shared" si="18"/>
        <v>4.9999999999999822</v>
      </c>
      <c r="V22" s="119">
        <f t="shared" si="17"/>
        <v>59.999999999999943</v>
      </c>
      <c r="W22" s="25">
        <f>T22</f>
        <v>0.82777777777777772</v>
      </c>
      <c r="X22" s="25">
        <f>S23</f>
        <v>0.86874999999999991</v>
      </c>
      <c r="Y22" s="28"/>
      <c r="Z22" s="28"/>
      <c r="AA22" s="116"/>
      <c r="AB22" s="117"/>
      <c r="AC22" s="50"/>
      <c r="AD22" s="27"/>
      <c r="AE22" s="20">
        <f t="shared" si="8"/>
        <v>-75.999999999998181</v>
      </c>
      <c r="AF22" s="111">
        <f t="shared" si="9"/>
        <v>0.96200000000000085</v>
      </c>
      <c r="AG22" s="573"/>
    </row>
    <row r="23" spans="1:33" ht="16.5" customHeight="1">
      <c r="A23" s="601" t="s">
        <v>393</v>
      </c>
      <c r="B23" s="123" t="s">
        <v>74</v>
      </c>
      <c r="C23" s="137" t="s">
        <v>86</v>
      </c>
      <c r="D23" s="138"/>
      <c r="E23" s="39">
        <v>50.92</v>
      </c>
      <c r="F23" s="123">
        <v>1200</v>
      </c>
      <c r="G23" s="112">
        <f t="shared" si="15"/>
        <v>61104</v>
      </c>
      <c r="H23" s="48" t="s">
        <v>126</v>
      </c>
      <c r="I23" s="118">
        <v>15</v>
      </c>
      <c r="J23" s="43">
        <v>2000</v>
      </c>
      <c r="K23" s="18">
        <f t="shared" si="1"/>
        <v>133.33333333333334</v>
      </c>
      <c r="L23" s="118">
        <v>15</v>
      </c>
      <c r="M23" s="19">
        <f t="shared" si="16"/>
        <v>1945.9459459459445</v>
      </c>
      <c r="N23" s="18">
        <f t="shared" si="3"/>
        <v>129.72972972972963</v>
      </c>
      <c r="O23" s="20">
        <f t="shared" si="4"/>
        <v>0</v>
      </c>
      <c r="P23" s="21">
        <f t="shared" si="5"/>
        <v>-3.603603603603716</v>
      </c>
      <c r="Q23" s="111">
        <f t="shared" si="6"/>
        <v>0.97297297297297214</v>
      </c>
      <c r="R23" s="573"/>
      <c r="S23" s="49">
        <v>0.86874999999999991</v>
      </c>
      <c r="T23" s="49">
        <v>0.89444444444444438</v>
      </c>
      <c r="U23" s="112">
        <f t="shared" si="18"/>
        <v>58.99999999999995</v>
      </c>
      <c r="V23" s="119">
        <f t="shared" si="17"/>
        <v>37.000000000000028</v>
      </c>
      <c r="W23" s="25"/>
      <c r="X23" s="25"/>
      <c r="Y23" s="28"/>
      <c r="Z23" s="28"/>
      <c r="AA23" s="116"/>
      <c r="AB23" s="117"/>
      <c r="AC23" s="50"/>
      <c r="AD23" s="27"/>
      <c r="AE23" s="20">
        <f t="shared" si="8"/>
        <v>-54.054054054055541</v>
      </c>
      <c r="AF23" s="111">
        <f t="shared" si="9"/>
        <v>0.97297297297297225</v>
      </c>
      <c r="AG23" s="573"/>
    </row>
    <row r="24" spans="1:33" ht="16.5" customHeight="1">
      <c r="A24" s="601" t="s">
        <v>393</v>
      </c>
      <c r="B24" s="39" t="s">
        <v>395</v>
      </c>
      <c r="C24" s="576"/>
      <c r="D24" s="576"/>
      <c r="E24" s="113"/>
      <c r="F24" s="42"/>
      <c r="G24" s="18"/>
      <c r="H24" s="123"/>
      <c r="I24" s="32">
        <v>17.625</v>
      </c>
      <c r="J24" s="43">
        <v>2025</v>
      </c>
      <c r="K24" s="18">
        <f t="shared" si="1"/>
        <v>114.8936170212766</v>
      </c>
      <c r="L24" s="32">
        <v>17.625</v>
      </c>
      <c r="M24" s="19">
        <f>AVERAGE(M16:M23)</f>
        <v>1941.1243788460433</v>
      </c>
      <c r="N24" s="18">
        <f t="shared" si="3"/>
        <v>110.13471653027196</v>
      </c>
      <c r="O24" s="20">
        <f t="shared" si="4"/>
        <v>0</v>
      </c>
      <c r="P24" s="21">
        <f t="shared" si="5"/>
        <v>-4.7589004910046384</v>
      </c>
      <c r="Q24" s="111">
        <f t="shared" si="6"/>
        <v>0.95857994017088555</v>
      </c>
      <c r="R24" s="573"/>
      <c r="S24" s="49"/>
      <c r="T24" s="49"/>
      <c r="U24" s="112"/>
      <c r="V24" s="119"/>
      <c r="W24" s="18"/>
      <c r="X24" s="18"/>
      <c r="Y24" s="33">
        <f>SUM(Y16:Y23)</f>
        <v>0</v>
      </c>
      <c r="Z24" s="33">
        <f>SUM(Z16:Z23)</f>
        <v>0</v>
      </c>
      <c r="AA24" s="572"/>
      <c r="AB24" s="572"/>
      <c r="AC24" s="33">
        <v>8</v>
      </c>
      <c r="AD24" s="33">
        <f>SUM(AD16:AD23)</f>
        <v>0</v>
      </c>
      <c r="AE24" s="20">
        <f t="shared" si="8"/>
        <v>-83.875621153956672</v>
      </c>
      <c r="AF24" s="111">
        <f t="shared" si="9"/>
        <v>0.95857994017088555</v>
      </c>
      <c r="AG24" s="573"/>
    </row>
    <row r="25" spans="1:33" ht="15.75" customHeight="1">
      <c r="A25" s="596" t="s">
        <v>53</v>
      </c>
      <c r="B25" s="39" t="s">
        <v>74</v>
      </c>
      <c r="C25" s="594" t="s">
        <v>84</v>
      </c>
      <c r="D25" s="594"/>
      <c r="E25" s="39">
        <v>54.09</v>
      </c>
      <c r="F25" s="123">
        <v>3610</v>
      </c>
      <c r="G25" s="112">
        <f t="shared" ref="G25:G30" si="19">E25*F25</f>
        <v>195264.90000000002</v>
      </c>
      <c r="H25" s="48" t="s">
        <v>126</v>
      </c>
      <c r="I25" s="118">
        <v>17</v>
      </c>
      <c r="J25" s="43">
        <v>1500</v>
      </c>
      <c r="K25" s="18">
        <f t="shared" si="1"/>
        <v>88.235294117647058</v>
      </c>
      <c r="L25" s="118">
        <v>17</v>
      </c>
      <c r="M25" s="19">
        <f t="shared" ref="M25:M30" si="20">F25/V25*60</f>
        <v>1434.4370860927152</v>
      </c>
      <c r="N25" s="18">
        <f t="shared" si="3"/>
        <v>84.378652123100892</v>
      </c>
      <c r="O25" s="20">
        <f t="shared" si="4"/>
        <v>0</v>
      </c>
      <c r="P25" s="21">
        <f t="shared" si="5"/>
        <v>-3.8566419945461661</v>
      </c>
      <c r="Q25" s="111">
        <f t="shared" si="6"/>
        <v>0.9562913907284768</v>
      </c>
      <c r="R25" s="573">
        <f>Q31</f>
        <v>0.95678869357794094</v>
      </c>
      <c r="S25" s="49">
        <v>0.20833333333333334</v>
      </c>
      <c r="T25" s="49">
        <v>0.31319444444444444</v>
      </c>
      <c r="U25" s="112"/>
      <c r="V25" s="119">
        <f t="shared" ref="V25:V30" si="21">(T25-S25)*24*60</f>
        <v>151</v>
      </c>
      <c r="W25" s="30"/>
      <c r="X25" s="30"/>
      <c r="Y25" s="30"/>
      <c r="Z25" s="30"/>
      <c r="AA25" s="575"/>
      <c r="AB25" s="575"/>
      <c r="AC25" s="50">
        <v>6</v>
      </c>
      <c r="AD25" s="27"/>
      <c r="AE25" s="20">
        <f t="shared" si="8"/>
        <v>-65.562913907284837</v>
      </c>
      <c r="AF25" s="111">
        <f t="shared" si="9"/>
        <v>0.9562913907284768</v>
      </c>
      <c r="AG25" s="573">
        <f>AF31</f>
        <v>0.95678869357794105</v>
      </c>
    </row>
    <row r="26" spans="1:33" ht="15.75" customHeight="1">
      <c r="A26" s="597" t="s">
        <v>396</v>
      </c>
      <c r="B26" s="39" t="s">
        <v>74</v>
      </c>
      <c r="C26" s="594" t="s">
        <v>89</v>
      </c>
      <c r="D26" s="594"/>
      <c r="E26" s="39">
        <v>50.67</v>
      </c>
      <c r="F26" s="123">
        <v>2702</v>
      </c>
      <c r="G26" s="112">
        <f t="shared" si="19"/>
        <v>136910.34</v>
      </c>
      <c r="H26" s="48" t="s">
        <v>126</v>
      </c>
      <c r="I26" s="118">
        <v>17</v>
      </c>
      <c r="J26" s="43">
        <v>2000</v>
      </c>
      <c r="K26" s="18">
        <f t="shared" si="1"/>
        <v>117.64705882352941</v>
      </c>
      <c r="L26" s="118">
        <v>17</v>
      </c>
      <c r="M26" s="19">
        <f t="shared" si="20"/>
        <v>1907.2941176470586</v>
      </c>
      <c r="N26" s="18">
        <f t="shared" si="3"/>
        <v>112.19377162629756</v>
      </c>
      <c r="O26" s="20">
        <f t="shared" si="4"/>
        <v>0</v>
      </c>
      <c r="P26" s="21">
        <f t="shared" si="5"/>
        <v>-5.4532871972318446</v>
      </c>
      <c r="Q26" s="111">
        <f t="shared" si="6"/>
        <v>0.95364705882352929</v>
      </c>
      <c r="R26" s="573"/>
      <c r="S26" s="49">
        <v>0.31736111111111109</v>
      </c>
      <c r="T26" s="49">
        <v>0.37638888888888888</v>
      </c>
      <c r="U26" s="112">
        <f t="shared" ref="U26:U30" si="22">IF(S26=TIME(17,0,0),"",(S26-T25)*24*60)</f>
        <v>5.9999999999999787</v>
      </c>
      <c r="V26" s="119">
        <f t="shared" si="21"/>
        <v>85.000000000000014</v>
      </c>
      <c r="W26" s="25"/>
      <c r="X26" s="112"/>
      <c r="Y26" s="112"/>
      <c r="Z26" s="112"/>
      <c r="AA26" s="575"/>
      <c r="AB26" s="575"/>
      <c r="AC26" s="50"/>
      <c r="AD26" s="27"/>
      <c r="AE26" s="20">
        <f t="shared" si="8"/>
        <v>-92.705882352941444</v>
      </c>
      <c r="AF26" s="111">
        <f t="shared" si="9"/>
        <v>0.95364705882352929</v>
      </c>
      <c r="AG26" s="573"/>
    </row>
    <row r="27" spans="1:33" ht="15.75" customHeight="1">
      <c r="A27" s="597" t="s">
        <v>397</v>
      </c>
      <c r="B27" s="39" t="s">
        <v>74</v>
      </c>
      <c r="C27" s="594" t="s">
        <v>90</v>
      </c>
      <c r="D27" s="594"/>
      <c r="E27" s="39">
        <v>57.73</v>
      </c>
      <c r="F27" s="123">
        <v>2766</v>
      </c>
      <c r="G27" s="112">
        <f t="shared" si="19"/>
        <v>159681.18</v>
      </c>
      <c r="H27" s="48" t="s">
        <v>126</v>
      </c>
      <c r="I27" s="118">
        <v>14</v>
      </c>
      <c r="J27" s="43">
        <v>2000</v>
      </c>
      <c r="K27" s="18">
        <f t="shared" si="1"/>
        <v>142.85714285714286</v>
      </c>
      <c r="L27" s="118">
        <v>14</v>
      </c>
      <c r="M27" s="19">
        <f t="shared" si="20"/>
        <v>1907.5862068965514</v>
      </c>
      <c r="N27" s="18">
        <f t="shared" si="3"/>
        <v>136.25615763546796</v>
      </c>
      <c r="O27" s="20">
        <f t="shared" si="4"/>
        <v>0</v>
      </c>
      <c r="P27" s="21">
        <f t="shared" si="5"/>
        <v>-6.6009852216749039</v>
      </c>
      <c r="Q27" s="111">
        <f t="shared" si="6"/>
        <v>0.95379310344827573</v>
      </c>
      <c r="R27" s="573"/>
      <c r="S27" s="49">
        <v>0.38194444444444442</v>
      </c>
      <c r="T27" s="49">
        <v>0.44236111111111109</v>
      </c>
      <c r="U27" s="112">
        <f t="shared" si="22"/>
        <v>7.9999999999999716</v>
      </c>
      <c r="V27" s="119">
        <f t="shared" si="21"/>
        <v>87.000000000000014</v>
      </c>
      <c r="W27" s="25"/>
      <c r="X27" s="112"/>
      <c r="Y27" s="112"/>
      <c r="Z27" s="112"/>
      <c r="AA27" s="575"/>
      <c r="AB27" s="575"/>
      <c r="AC27" s="50"/>
      <c r="AD27" s="27"/>
      <c r="AE27" s="20">
        <f t="shared" si="8"/>
        <v>-92.413793103448597</v>
      </c>
      <c r="AF27" s="111">
        <f t="shared" si="9"/>
        <v>0.95379310344827573</v>
      </c>
      <c r="AG27" s="573"/>
    </row>
    <row r="28" spans="1:33" ht="15.75" customHeight="1">
      <c r="A28" s="597" t="s">
        <v>398</v>
      </c>
      <c r="B28" s="39" t="s">
        <v>74</v>
      </c>
      <c r="C28" s="594" t="s">
        <v>91</v>
      </c>
      <c r="D28" s="594"/>
      <c r="E28" s="39">
        <v>53.68</v>
      </c>
      <c r="F28" s="123">
        <v>1353</v>
      </c>
      <c r="G28" s="112">
        <f t="shared" si="19"/>
        <v>72629.039999999994</v>
      </c>
      <c r="H28" s="48" t="s">
        <v>126</v>
      </c>
      <c r="I28" s="118">
        <v>16</v>
      </c>
      <c r="J28" s="43">
        <v>2000</v>
      </c>
      <c r="K28" s="18">
        <f t="shared" si="1"/>
        <v>125</v>
      </c>
      <c r="L28" s="118">
        <v>16</v>
      </c>
      <c r="M28" s="19">
        <f t="shared" si="20"/>
        <v>1932.857142857142</v>
      </c>
      <c r="N28" s="18">
        <f t="shared" si="3"/>
        <v>120.80357142857137</v>
      </c>
      <c r="O28" s="20">
        <f t="shared" si="4"/>
        <v>0</v>
      </c>
      <c r="P28" s="21">
        <f t="shared" si="5"/>
        <v>-4.1964285714286262</v>
      </c>
      <c r="Q28" s="111">
        <f t="shared" si="6"/>
        <v>0.96642857142857097</v>
      </c>
      <c r="R28" s="573"/>
      <c r="S28" s="49">
        <v>0.44722222222222219</v>
      </c>
      <c r="T28" s="49">
        <v>0.47638888888888886</v>
      </c>
      <c r="U28" s="112">
        <f t="shared" si="22"/>
        <v>6.9999999999999751</v>
      </c>
      <c r="V28" s="119">
        <f t="shared" si="21"/>
        <v>42.000000000000014</v>
      </c>
      <c r="W28" s="25"/>
      <c r="X28" s="112"/>
      <c r="Y28" s="112"/>
      <c r="Z28" s="112"/>
      <c r="AA28" s="575"/>
      <c r="AB28" s="575"/>
      <c r="AC28" s="50"/>
      <c r="AD28" s="27"/>
      <c r="AE28" s="20">
        <f t="shared" si="8"/>
        <v>-67.14285714285802</v>
      </c>
      <c r="AF28" s="111">
        <f t="shared" si="9"/>
        <v>0.96642857142857097</v>
      </c>
      <c r="AG28" s="573"/>
    </row>
    <row r="29" spans="1:33" ht="15.75" customHeight="1">
      <c r="A29" s="597" t="s">
        <v>53</v>
      </c>
      <c r="B29" s="39" t="s">
        <v>74</v>
      </c>
      <c r="C29" s="594" t="s">
        <v>92</v>
      </c>
      <c r="D29" s="594"/>
      <c r="E29" s="39">
        <v>50.49</v>
      </c>
      <c r="F29" s="123">
        <v>2327</v>
      </c>
      <c r="G29" s="112">
        <f t="shared" si="19"/>
        <v>117490.23000000001</v>
      </c>
      <c r="H29" s="48" t="s">
        <v>126</v>
      </c>
      <c r="I29" s="118">
        <v>15</v>
      </c>
      <c r="J29" s="43">
        <v>2000</v>
      </c>
      <c r="K29" s="18">
        <f t="shared" si="1"/>
        <v>133.33333333333334</v>
      </c>
      <c r="L29" s="118">
        <v>15</v>
      </c>
      <c r="M29" s="19">
        <f t="shared" si="20"/>
        <v>1912.6027397260259</v>
      </c>
      <c r="N29" s="18">
        <f t="shared" si="3"/>
        <v>127.50684931506839</v>
      </c>
      <c r="O29" s="20">
        <f t="shared" si="4"/>
        <v>0</v>
      </c>
      <c r="P29" s="21">
        <f t="shared" si="5"/>
        <v>-5.8264840182649493</v>
      </c>
      <c r="Q29" s="111">
        <f t="shared" si="6"/>
        <v>0.95630136986301284</v>
      </c>
      <c r="R29" s="573"/>
      <c r="S29" s="49">
        <v>0.70833333333333337</v>
      </c>
      <c r="T29" s="49">
        <v>0.75902777777777786</v>
      </c>
      <c r="U29" s="112" t="str">
        <f t="shared" si="22"/>
        <v/>
      </c>
      <c r="V29" s="119">
        <f t="shared" si="21"/>
        <v>73.000000000000057</v>
      </c>
      <c r="W29" s="25"/>
      <c r="X29" s="25"/>
      <c r="Y29" s="112"/>
      <c r="Z29" s="112"/>
      <c r="AA29" s="575"/>
      <c r="AB29" s="575"/>
      <c r="AC29" s="50"/>
      <c r="AD29" s="27"/>
      <c r="AE29" s="20">
        <f t="shared" si="8"/>
        <v>-87.397260273974098</v>
      </c>
      <c r="AF29" s="111">
        <f t="shared" si="9"/>
        <v>0.95630136986301295</v>
      </c>
      <c r="AG29" s="573"/>
    </row>
    <row r="30" spans="1:33" ht="15.75" customHeight="1">
      <c r="A30" s="597" t="s">
        <v>399</v>
      </c>
      <c r="B30" s="39" t="s">
        <v>74</v>
      </c>
      <c r="C30" s="594" t="s">
        <v>93</v>
      </c>
      <c r="D30" s="594"/>
      <c r="E30" s="39">
        <v>50.98</v>
      </c>
      <c r="F30" s="123">
        <v>2608</v>
      </c>
      <c r="G30" s="112">
        <f t="shared" si="19"/>
        <v>132955.84</v>
      </c>
      <c r="H30" s="48" t="s">
        <v>126</v>
      </c>
      <c r="I30" s="118">
        <v>16</v>
      </c>
      <c r="J30" s="43">
        <v>2000</v>
      </c>
      <c r="K30" s="18">
        <f t="shared" si="1"/>
        <v>125</v>
      </c>
      <c r="L30" s="118">
        <v>16</v>
      </c>
      <c r="M30" s="19">
        <f t="shared" si="20"/>
        <v>1908.2926829268285</v>
      </c>
      <c r="N30" s="18">
        <f t="shared" si="3"/>
        <v>119.26829268292678</v>
      </c>
      <c r="O30" s="20">
        <f t="shared" si="4"/>
        <v>0</v>
      </c>
      <c r="P30" s="21">
        <f t="shared" si="5"/>
        <v>-5.7317073170732158</v>
      </c>
      <c r="Q30" s="111">
        <f t="shared" si="6"/>
        <v>0.95414634146341426</v>
      </c>
      <c r="R30" s="573"/>
      <c r="S30" s="49">
        <v>0.76388888888888895</v>
      </c>
      <c r="T30" s="49">
        <v>0.82083333333333341</v>
      </c>
      <c r="U30" s="112">
        <f t="shared" si="22"/>
        <v>6.9999999999999751</v>
      </c>
      <c r="V30" s="119">
        <f t="shared" si="21"/>
        <v>82.000000000000028</v>
      </c>
      <c r="W30" s="25"/>
      <c r="X30" s="30"/>
      <c r="Y30" s="30"/>
      <c r="Z30" s="30"/>
      <c r="AA30" s="575"/>
      <c r="AB30" s="575"/>
      <c r="AC30" s="50"/>
      <c r="AD30" s="27"/>
      <c r="AE30" s="20">
        <f t="shared" si="8"/>
        <v>-91.707317073171453</v>
      </c>
      <c r="AF30" s="111">
        <f t="shared" si="9"/>
        <v>0.95414634146341426</v>
      </c>
      <c r="AG30" s="573"/>
    </row>
    <row r="31" spans="1:33" ht="15.75" customHeight="1">
      <c r="A31" s="597" t="s">
        <v>396</v>
      </c>
      <c r="B31" s="39" t="s">
        <v>400</v>
      </c>
      <c r="C31" s="576"/>
      <c r="D31" s="576"/>
      <c r="E31" s="113"/>
      <c r="F31" s="123"/>
      <c r="G31" s="112"/>
      <c r="H31" s="123"/>
      <c r="I31" s="32">
        <v>15.833333333333334</v>
      </c>
      <c r="J31" s="43">
        <v>1916.6666666666667</v>
      </c>
      <c r="K31" s="18">
        <f t="shared" si="1"/>
        <v>121.05263157894737</v>
      </c>
      <c r="L31" s="32">
        <v>15.833333333333334</v>
      </c>
      <c r="M31" s="19">
        <f>AVERAGE(M25:M30)</f>
        <v>1833.844996024387</v>
      </c>
      <c r="N31" s="18">
        <f t="shared" si="3"/>
        <v>115.82178922259286</v>
      </c>
      <c r="O31" s="20">
        <f t="shared" si="4"/>
        <v>0</v>
      </c>
      <c r="P31" s="21">
        <f t="shared" si="5"/>
        <v>-5.2308423563545148</v>
      </c>
      <c r="Q31" s="111">
        <f t="shared" si="6"/>
        <v>0.95678869357794094</v>
      </c>
      <c r="R31" s="573"/>
      <c r="S31" s="49"/>
      <c r="T31" s="49"/>
      <c r="U31" s="18"/>
      <c r="V31" s="119"/>
      <c r="W31" s="18"/>
      <c r="X31" s="18"/>
      <c r="Y31" s="33">
        <f>SUM(Y25:Y30)</f>
        <v>0</v>
      </c>
      <c r="Z31" s="33">
        <f>SUM(Z25:Z30)</f>
        <v>0</v>
      </c>
      <c r="AA31" s="572"/>
      <c r="AB31" s="572"/>
      <c r="AC31" s="33">
        <v>6</v>
      </c>
      <c r="AD31" s="33">
        <f>SUM(AD25:AD30)</f>
        <v>0</v>
      </c>
      <c r="AE31" s="20">
        <f t="shared" si="8"/>
        <v>-82.821670642279742</v>
      </c>
      <c r="AF31" s="111">
        <f t="shared" si="9"/>
        <v>0.95678869357794105</v>
      </c>
      <c r="AG31" s="573"/>
    </row>
    <row r="32" spans="1:33" ht="15.75" customHeight="1">
      <c r="A32" s="595" t="s">
        <v>401</v>
      </c>
      <c r="B32" s="39" t="s">
        <v>94</v>
      </c>
      <c r="C32" s="594" t="s">
        <v>95</v>
      </c>
      <c r="D32" s="594"/>
      <c r="E32" s="39">
        <v>31.29</v>
      </c>
      <c r="F32" s="123">
        <v>8600</v>
      </c>
      <c r="G32" s="112">
        <f t="shared" ref="G32:G38" si="23">E32*F32</f>
        <v>269094</v>
      </c>
      <c r="H32" s="48">
        <v>2</v>
      </c>
      <c r="I32" s="118">
        <v>18</v>
      </c>
      <c r="J32" s="43">
        <v>2400</v>
      </c>
      <c r="K32" s="18">
        <f t="shared" si="1"/>
        <v>133.33333333333334</v>
      </c>
      <c r="L32" s="118">
        <v>18</v>
      </c>
      <c r="M32" s="19">
        <f t="shared" ref="M32:M38" si="24">F32/V32*60</f>
        <v>2283.1858407079644</v>
      </c>
      <c r="N32" s="18">
        <f t="shared" si="3"/>
        <v>126.84365781710913</v>
      </c>
      <c r="O32" s="20">
        <f t="shared" si="4"/>
        <v>0</v>
      </c>
      <c r="P32" s="21">
        <f t="shared" si="5"/>
        <v>-6.4896755162242101</v>
      </c>
      <c r="Q32" s="111">
        <f t="shared" si="6"/>
        <v>0.9513274336283184</v>
      </c>
      <c r="R32" s="573">
        <f>Q39</f>
        <v>0.95397218792887795</v>
      </c>
      <c r="S32" s="49">
        <v>8.3333333333333329E-2</v>
      </c>
      <c r="T32" s="49">
        <v>0.24027777777777776</v>
      </c>
      <c r="U32" s="112"/>
      <c r="V32" s="119">
        <f t="shared" ref="V32:V38" si="25">(T32-S32)*24*60</f>
        <v>226</v>
      </c>
      <c r="W32" s="25">
        <f>T32</f>
        <v>0.24027777777777776</v>
      </c>
      <c r="X32" s="25">
        <f>S33</f>
        <v>0.2583333333333333</v>
      </c>
      <c r="Y32" s="25"/>
      <c r="Z32" s="25"/>
      <c r="AA32" s="575"/>
      <c r="AB32" s="575"/>
      <c r="AC32" s="50">
        <v>7</v>
      </c>
      <c r="AD32" s="27"/>
      <c r="AE32" s="20">
        <f t="shared" si="8"/>
        <v>-116.81415929203558</v>
      </c>
      <c r="AF32" s="111">
        <f t="shared" si="9"/>
        <v>0.95132743362831851</v>
      </c>
      <c r="AG32" s="573">
        <f>AF39</f>
        <v>0.95397218792887795</v>
      </c>
    </row>
    <row r="33" spans="1:33" ht="15.75" customHeight="1">
      <c r="A33" s="595" t="s">
        <v>402</v>
      </c>
      <c r="B33" s="39" t="s">
        <v>94</v>
      </c>
      <c r="C33" s="594" t="s">
        <v>97</v>
      </c>
      <c r="D33" s="594"/>
      <c r="E33" s="39">
        <v>26.37</v>
      </c>
      <c r="F33" s="123">
        <v>5600</v>
      </c>
      <c r="G33" s="112">
        <f t="shared" si="23"/>
        <v>147672</v>
      </c>
      <c r="H33" s="48">
        <v>2</v>
      </c>
      <c r="I33" s="118">
        <v>19</v>
      </c>
      <c r="J33" s="43">
        <v>2400</v>
      </c>
      <c r="K33" s="18">
        <f t="shared" si="1"/>
        <v>126.31578947368421</v>
      </c>
      <c r="L33" s="118">
        <v>19</v>
      </c>
      <c r="M33" s="19">
        <f t="shared" si="24"/>
        <v>2285.7142857142853</v>
      </c>
      <c r="N33" s="18">
        <f t="shared" si="3"/>
        <v>120.30075187969923</v>
      </c>
      <c r="O33" s="20">
        <f t="shared" si="4"/>
        <v>0</v>
      </c>
      <c r="P33" s="21">
        <f t="shared" si="5"/>
        <v>-6.015037593984971</v>
      </c>
      <c r="Q33" s="111">
        <f t="shared" si="6"/>
        <v>0.95238095238095233</v>
      </c>
      <c r="R33" s="573"/>
      <c r="S33" s="49">
        <v>0.2583333333333333</v>
      </c>
      <c r="T33" s="49">
        <v>0.36041666666666666</v>
      </c>
      <c r="U33" s="112">
        <f t="shared" ref="U33:U38" si="26">(S33-T32)*24*60</f>
        <v>25.999999999999986</v>
      </c>
      <c r="V33" s="119">
        <f t="shared" si="25"/>
        <v>147.00000000000003</v>
      </c>
      <c r="W33" s="25"/>
      <c r="X33" s="25"/>
      <c r="Y33" s="25"/>
      <c r="Z33" s="25"/>
      <c r="AA33" s="575"/>
      <c r="AB33" s="575"/>
      <c r="AC33" s="50"/>
      <c r="AD33" s="27"/>
      <c r="AE33" s="20">
        <f t="shared" si="8"/>
        <v>-114.28571428571468</v>
      </c>
      <c r="AF33" s="111">
        <f t="shared" si="9"/>
        <v>0.95238095238095222</v>
      </c>
      <c r="AG33" s="573"/>
    </row>
    <row r="34" spans="1:33" ht="15.75" customHeight="1">
      <c r="A34" s="595" t="s">
        <v>402</v>
      </c>
      <c r="B34" s="39" t="s">
        <v>94</v>
      </c>
      <c r="C34" s="594" t="s">
        <v>98</v>
      </c>
      <c r="D34" s="594"/>
      <c r="E34" s="39">
        <v>25.99</v>
      </c>
      <c r="F34" s="123">
        <v>3500</v>
      </c>
      <c r="G34" s="112">
        <f t="shared" si="23"/>
        <v>90965</v>
      </c>
      <c r="H34" s="48">
        <v>2</v>
      </c>
      <c r="I34" s="118">
        <v>14</v>
      </c>
      <c r="J34" s="43">
        <v>2400</v>
      </c>
      <c r="K34" s="18">
        <f t="shared" si="1"/>
        <v>171.42857142857142</v>
      </c>
      <c r="L34" s="118">
        <v>14</v>
      </c>
      <c r="M34" s="19">
        <f t="shared" si="24"/>
        <v>2307.6923076923076</v>
      </c>
      <c r="N34" s="18">
        <f t="shared" si="3"/>
        <v>164.83516483516482</v>
      </c>
      <c r="O34" s="20">
        <f t="shared" si="4"/>
        <v>0</v>
      </c>
      <c r="P34" s="21">
        <f t="shared" si="5"/>
        <v>-6.5934065934065984</v>
      </c>
      <c r="Q34" s="111">
        <f t="shared" si="6"/>
        <v>0.96153846153846145</v>
      </c>
      <c r="R34" s="573"/>
      <c r="S34" s="49">
        <v>0.3659722222222222</v>
      </c>
      <c r="T34" s="49">
        <v>0.42916666666666664</v>
      </c>
      <c r="U34" s="112">
        <f t="shared" si="26"/>
        <v>7.9999999999999716</v>
      </c>
      <c r="V34" s="119">
        <f t="shared" si="25"/>
        <v>91</v>
      </c>
      <c r="W34" s="25"/>
      <c r="X34" s="25"/>
      <c r="Y34" s="25"/>
      <c r="Z34" s="25"/>
      <c r="AA34" s="575"/>
      <c r="AB34" s="575"/>
      <c r="AC34" s="50"/>
      <c r="AD34" s="27"/>
      <c r="AE34" s="20">
        <f t="shared" si="8"/>
        <v>-92.307692307692378</v>
      </c>
      <c r="AF34" s="111">
        <f t="shared" si="9"/>
        <v>0.96153846153846156</v>
      </c>
      <c r="AG34" s="573"/>
    </row>
    <row r="35" spans="1:33" ht="15.75" customHeight="1">
      <c r="A35" s="595" t="s">
        <v>403</v>
      </c>
      <c r="B35" s="39" t="s">
        <v>94</v>
      </c>
      <c r="C35" s="594" t="s">
        <v>122</v>
      </c>
      <c r="D35" s="594"/>
      <c r="E35" s="39">
        <v>20.52</v>
      </c>
      <c r="F35" s="123">
        <v>3846</v>
      </c>
      <c r="G35" s="112">
        <f t="shared" si="23"/>
        <v>78919.92</v>
      </c>
      <c r="H35" s="48" t="s">
        <v>126</v>
      </c>
      <c r="I35" s="118">
        <v>18</v>
      </c>
      <c r="J35" s="43">
        <v>2400</v>
      </c>
      <c r="K35" s="18">
        <f t="shared" si="1"/>
        <v>133.33333333333334</v>
      </c>
      <c r="L35" s="118">
        <v>18</v>
      </c>
      <c r="M35" s="19">
        <f t="shared" si="24"/>
        <v>2284.7524752475238</v>
      </c>
      <c r="N35" s="18">
        <f t="shared" si="3"/>
        <v>126.93069306930687</v>
      </c>
      <c r="O35" s="20">
        <f t="shared" si="4"/>
        <v>0</v>
      </c>
      <c r="P35" s="21">
        <f t="shared" si="5"/>
        <v>-6.4026402640264735</v>
      </c>
      <c r="Q35" s="111">
        <f t="shared" si="6"/>
        <v>0.95198019801980149</v>
      </c>
      <c r="R35" s="573"/>
      <c r="S35" s="49">
        <v>0.43333333333333329</v>
      </c>
      <c r="T35" s="49">
        <v>0.50347222222222221</v>
      </c>
      <c r="U35" s="112">
        <f t="shared" si="26"/>
        <v>5.9999999999999787</v>
      </c>
      <c r="V35" s="119">
        <f t="shared" si="25"/>
        <v>101.00000000000004</v>
      </c>
      <c r="W35" s="25">
        <f>T35</f>
        <v>0.50347222222222221</v>
      </c>
      <c r="X35" s="25">
        <f>S36</f>
        <v>0.54166666666666663</v>
      </c>
      <c r="Y35" s="25"/>
      <c r="Z35" s="25"/>
      <c r="AA35" s="575"/>
      <c r="AB35" s="575"/>
      <c r="AC35" s="50"/>
      <c r="AD35" s="27"/>
      <c r="AE35" s="20">
        <f t="shared" si="8"/>
        <v>-115.24752475247624</v>
      </c>
      <c r="AF35" s="111">
        <f t="shared" si="9"/>
        <v>0.9519801980198016</v>
      </c>
      <c r="AG35" s="573"/>
    </row>
    <row r="36" spans="1:33" ht="15.75" customHeight="1">
      <c r="A36" s="595" t="s">
        <v>404</v>
      </c>
      <c r="B36" s="39" t="s">
        <v>94</v>
      </c>
      <c r="C36" s="594" t="s">
        <v>95</v>
      </c>
      <c r="D36" s="594"/>
      <c r="E36" s="39">
        <v>31.29</v>
      </c>
      <c r="F36" s="123">
        <v>6018</v>
      </c>
      <c r="G36" s="112">
        <f t="shared" si="23"/>
        <v>188303.22</v>
      </c>
      <c r="H36" s="48" t="s">
        <v>126</v>
      </c>
      <c r="I36" s="118">
        <v>18</v>
      </c>
      <c r="J36" s="43">
        <v>2400</v>
      </c>
      <c r="K36" s="18">
        <f t="shared" si="1"/>
        <v>133.33333333333334</v>
      </c>
      <c r="L36" s="118">
        <v>18</v>
      </c>
      <c r="M36" s="19">
        <f t="shared" si="24"/>
        <v>2285.3164556962038</v>
      </c>
      <c r="N36" s="18">
        <f t="shared" si="3"/>
        <v>126.96202531645577</v>
      </c>
      <c r="O36" s="20">
        <f t="shared" si="4"/>
        <v>0</v>
      </c>
      <c r="P36" s="21">
        <f t="shared" si="5"/>
        <v>-6.3713080168775775</v>
      </c>
      <c r="Q36" s="111">
        <f t="shared" si="6"/>
        <v>0.95221518987341813</v>
      </c>
      <c r="R36" s="573"/>
      <c r="S36" s="49">
        <v>0.54166666666666663</v>
      </c>
      <c r="T36" s="49">
        <v>0.6513888888888888</v>
      </c>
      <c r="U36" s="112">
        <f t="shared" si="26"/>
        <v>54.999999999999964</v>
      </c>
      <c r="V36" s="119">
        <f t="shared" si="25"/>
        <v>157.99999999999991</v>
      </c>
      <c r="W36" s="25"/>
      <c r="X36" s="25"/>
      <c r="Y36" s="25"/>
      <c r="Z36" s="25"/>
      <c r="AA36" s="575"/>
      <c r="AB36" s="575"/>
      <c r="AC36" s="50"/>
      <c r="AD36" s="27"/>
      <c r="AE36" s="20">
        <f t="shared" si="8"/>
        <v>-114.68354430379622</v>
      </c>
      <c r="AF36" s="111">
        <f t="shared" si="9"/>
        <v>0.95221518987341824</v>
      </c>
      <c r="AG36" s="573"/>
    </row>
    <row r="37" spans="1:33" ht="15.75" customHeight="1">
      <c r="A37" s="595" t="s">
        <v>405</v>
      </c>
      <c r="B37" s="39" t="s">
        <v>94</v>
      </c>
      <c r="C37" s="594" t="s">
        <v>97</v>
      </c>
      <c r="D37" s="594"/>
      <c r="E37" s="39">
        <v>26.37</v>
      </c>
      <c r="F37" s="123">
        <v>4052</v>
      </c>
      <c r="G37" s="112">
        <f t="shared" si="23"/>
        <v>106851.24</v>
      </c>
      <c r="H37" s="48" t="s">
        <v>126</v>
      </c>
      <c r="I37" s="118">
        <v>19</v>
      </c>
      <c r="J37" s="43">
        <v>2400</v>
      </c>
      <c r="K37" s="18">
        <f t="shared" si="1"/>
        <v>126.31578947368421</v>
      </c>
      <c r="L37" s="118">
        <v>19</v>
      </c>
      <c r="M37" s="19">
        <f t="shared" si="24"/>
        <v>2293.5849056603784</v>
      </c>
      <c r="N37" s="18">
        <f t="shared" si="3"/>
        <v>120.71499503475675</v>
      </c>
      <c r="O37" s="20">
        <f t="shared" si="4"/>
        <v>0</v>
      </c>
      <c r="P37" s="21">
        <f t="shared" si="5"/>
        <v>-5.6007944389274513</v>
      </c>
      <c r="Q37" s="111">
        <f t="shared" si="6"/>
        <v>0.95566037735849096</v>
      </c>
      <c r="R37" s="573"/>
      <c r="S37" s="49">
        <v>0.65486111111111101</v>
      </c>
      <c r="T37" s="49">
        <v>0.72847222222222208</v>
      </c>
      <c r="U37" s="112">
        <f t="shared" si="26"/>
        <v>4.9999999999999822</v>
      </c>
      <c r="V37" s="119">
        <f t="shared" si="25"/>
        <v>105.99999999999994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8"/>
        <v>-106.41509433962165</v>
      </c>
      <c r="AF37" s="111">
        <f t="shared" si="9"/>
        <v>0.95566037735849096</v>
      </c>
      <c r="AG37" s="573"/>
    </row>
    <row r="38" spans="1:33" ht="15.75" customHeight="1">
      <c r="A38" s="595" t="s">
        <v>404</v>
      </c>
      <c r="B38" s="39" t="s">
        <v>94</v>
      </c>
      <c r="C38" s="594" t="s">
        <v>98</v>
      </c>
      <c r="D38" s="594"/>
      <c r="E38" s="39">
        <v>25.99</v>
      </c>
      <c r="F38" s="123">
        <v>2820</v>
      </c>
      <c r="G38" s="112">
        <f t="shared" si="23"/>
        <v>73291.799999999988</v>
      </c>
      <c r="H38" s="48" t="s">
        <v>126</v>
      </c>
      <c r="I38" s="118">
        <v>14</v>
      </c>
      <c r="J38" s="43">
        <v>2400</v>
      </c>
      <c r="K38" s="18">
        <f t="shared" si="1"/>
        <v>171.42857142857142</v>
      </c>
      <c r="L38" s="118">
        <v>14</v>
      </c>
      <c r="M38" s="19">
        <f t="shared" si="24"/>
        <v>2286.4864864864844</v>
      </c>
      <c r="N38" s="18">
        <f t="shared" si="3"/>
        <v>163.32046332046318</v>
      </c>
      <c r="O38" s="20">
        <f t="shared" si="4"/>
        <v>0</v>
      </c>
      <c r="P38" s="21">
        <f t="shared" si="5"/>
        <v>-8.1081081081082402</v>
      </c>
      <c r="Q38" s="111">
        <f t="shared" si="6"/>
        <v>0.95270270270270196</v>
      </c>
      <c r="R38" s="573"/>
      <c r="S38" s="49">
        <v>0.73194444444444429</v>
      </c>
      <c r="T38" s="49">
        <v>0.78333333333333321</v>
      </c>
      <c r="U38" s="112">
        <f t="shared" si="26"/>
        <v>4.9999999999999822</v>
      </c>
      <c r="V38" s="119">
        <f t="shared" si="25"/>
        <v>74.000000000000057</v>
      </c>
      <c r="W38" s="25"/>
      <c r="X38" s="25"/>
      <c r="Y38" s="25"/>
      <c r="Z38" s="25"/>
      <c r="AA38" s="575"/>
      <c r="AB38" s="575"/>
      <c r="AC38" s="50"/>
      <c r="AD38" s="27"/>
      <c r="AE38" s="20">
        <f t="shared" si="8"/>
        <v>-113.51351351351559</v>
      </c>
      <c r="AF38" s="111">
        <f t="shared" si="9"/>
        <v>0.95270270270270185</v>
      </c>
      <c r="AG38" s="573"/>
    </row>
    <row r="39" spans="1:33" ht="15.75" customHeight="1">
      <c r="A39" s="595" t="s">
        <v>404</v>
      </c>
      <c r="B39" s="39" t="s">
        <v>387</v>
      </c>
      <c r="C39" s="576"/>
      <c r="D39" s="576"/>
      <c r="E39" s="113"/>
      <c r="F39" s="123"/>
      <c r="G39" s="112"/>
      <c r="H39" s="123"/>
      <c r="I39" s="32">
        <v>17.142857142857142</v>
      </c>
      <c r="J39" s="43">
        <v>2400</v>
      </c>
      <c r="K39" s="18">
        <f t="shared" si="1"/>
        <v>140</v>
      </c>
      <c r="L39" s="32">
        <v>17.142857142857142</v>
      </c>
      <c r="M39" s="19">
        <f>AVERAGE(M32:M38)</f>
        <v>2289.5332510293069</v>
      </c>
      <c r="N39" s="18">
        <f t="shared" si="3"/>
        <v>133.55610631004291</v>
      </c>
      <c r="O39" s="20">
        <f t="shared" si="4"/>
        <v>0</v>
      </c>
      <c r="P39" s="21">
        <f t="shared" si="5"/>
        <v>-6.4438936899570933</v>
      </c>
      <c r="Q39" s="111">
        <f t="shared" si="6"/>
        <v>0.95397218792887795</v>
      </c>
      <c r="R39" s="573"/>
      <c r="S39" s="49"/>
      <c r="T39" s="49"/>
      <c r="U39" s="112"/>
      <c r="V39" s="119"/>
      <c r="W39" s="112"/>
      <c r="X39" s="112"/>
      <c r="Y39" s="33">
        <f>SUM(Y32:Y38)</f>
        <v>0</v>
      </c>
      <c r="Z39" s="33">
        <f>SUM(Z32:Z38)</f>
        <v>0</v>
      </c>
      <c r="AA39" s="572"/>
      <c r="AB39" s="572"/>
      <c r="AC39" s="33">
        <v>7</v>
      </c>
      <c r="AD39" s="33">
        <f>SUM(AD32:AD38)</f>
        <v>0</v>
      </c>
      <c r="AE39" s="20">
        <f t="shared" si="8"/>
        <v>-110.46674897069306</v>
      </c>
      <c r="AF39" s="111">
        <f t="shared" si="9"/>
        <v>0.95397218792887795</v>
      </c>
      <c r="AG39" s="573"/>
    </row>
    <row r="40" spans="1:33" ht="15.75" customHeight="1">
      <c r="A40" s="592" t="s">
        <v>406</v>
      </c>
      <c r="B40" s="39" t="s">
        <v>94</v>
      </c>
      <c r="C40" s="574" t="s">
        <v>99</v>
      </c>
      <c r="D40" s="574"/>
      <c r="E40" s="39">
        <v>20.36</v>
      </c>
      <c r="F40" s="123">
        <v>4200</v>
      </c>
      <c r="G40" s="112">
        <f t="shared" ref="G40:G46" si="27">E40*F40</f>
        <v>85512</v>
      </c>
      <c r="H40" s="48">
        <v>2</v>
      </c>
      <c r="I40" s="118">
        <v>18</v>
      </c>
      <c r="J40" s="43">
        <v>2400</v>
      </c>
      <c r="K40" s="18">
        <f t="shared" si="1"/>
        <v>133.33333333333334</v>
      </c>
      <c r="L40" s="118">
        <v>18</v>
      </c>
      <c r="M40" s="19">
        <f t="shared" ref="M40:M46" si="28">F40/V40*60</f>
        <v>2290.909090909091</v>
      </c>
      <c r="N40" s="18">
        <f t="shared" si="3"/>
        <v>127.27272727272728</v>
      </c>
      <c r="O40" s="20">
        <f t="shared" si="4"/>
        <v>0</v>
      </c>
      <c r="P40" s="21">
        <f t="shared" si="5"/>
        <v>-6.0606060606060623</v>
      </c>
      <c r="Q40" s="111">
        <f t="shared" si="6"/>
        <v>0.95454545454545459</v>
      </c>
      <c r="R40" s="573">
        <f>Q47</f>
        <v>0.95525804637776801</v>
      </c>
      <c r="S40" s="49">
        <v>8.3333333333333329E-2</v>
      </c>
      <c r="T40" s="49">
        <v>0.15972222222222221</v>
      </c>
      <c r="U40" s="112"/>
      <c r="V40" s="119">
        <f t="shared" ref="V40:V46" si="29">(T40-S40)*24*60</f>
        <v>109.99999999999999</v>
      </c>
      <c r="W40" s="30">
        <f>T40</f>
        <v>0.15972222222222221</v>
      </c>
      <c r="X40" s="30">
        <f>S41</f>
        <v>0.17916666666666664</v>
      </c>
      <c r="Y40" s="30"/>
      <c r="Z40" s="30"/>
      <c r="AA40" s="575"/>
      <c r="AB40" s="575"/>
      <c r="AC40" s="50">
        <v>7</v>
      </c>
      <c r="AD40" s="27"/>
      <c r="AE40" s="20">
        <f t="shared" si="8"/>
        <v>-109.09090909090901</v>
      </c>
      <c r="AF40" s="111">
        <f t="shared" si="9"/>
        <v>0.95454545454545459</v>
      </c>
      <c r="AG40" s="573">
        <f>AF47</f>
        <v>0.9552580463777679</v>
      </c>
    </row>
    <row r="41" spans="1:33" ht="15.75" customHeight="1">
      <c r="A41" s="592" t="s">
        <v>407</v>
      </c>
      <c r="B41" s="39" t="s">
        <v>94</v>
      </c>
      <c r="C41" s="574" t="s">
        <v>100</v>
      </c>
      <c r="D41" s="574"/>
      <c r="E41" s="39">
        <v>24.43</v>
      </c>
      <c r="F41" s="123">
        <v>5300</v>
      </c>
      <c r="G41" s="112">
        <f t="shared" si="27"/>
        <v>129479</v>
      </c>
      <c r="H41" s="48">
        <v>2</v>
      </c>
      <c r="I41" s="118">
        <v>14</v>
      </c>
      <c r="J41" s="43">
        <v>2400</v>
      </c>
      <c r="K41" s="18">
        <f t="shared" si="1"/>
        <v>171.42857142857142</v>
      </c>
      <c r="L41" s="118">
        <v>14</v>
      </c>
      <c r="M41" s="19">
        <f t="shared" si="28"/>
        <v>2287.7697841726617</v>
      </c>
      <c r="N41" s="18">
        <f t="shared" si="3"/>
        <v>163.41212744090441</v>
      </c>
      <c r="O41" s="20">
        <f t="shared" si="4"/>
        <v>0</v>
      </c>
      <c r="P41" s="21">
        <f t="shared" si="5"/>
        <v>-8.0164439876670031</v>
      </c>
      <c r="Q41" s="111">
        <f t="shared" si="6"/>
        <v>0.95323741007194251</v>
      </c>
      <c r="R41" s="573"/>
      <c r="S41" s="49">
        <v>0.17916666666666664</v>
      </c>
      <c r="T41" s="49">
        <v>0.27569444444444441</v>
      </c>
      <c r="U41" s="112">
        <f t="shared" ref="U41:U46" si="30">(S41-T40)*24*60</f>
        <v>27.999999999999979</v>
      </c>
      <c r="V41" s="119">
        <f t="shared" si="29"/>
        <v>139</v>
      </c>
      <c r="W41" s="112"/>
      <c r="X41" s="112"/>
      <c r="Y41" s="112"/>
      <c r="Z41" s="112"/>
      <c r="AA41" s="575"/>
      <c r="AB41" s="575"/>
      <c r="AC41" s="50"/>
      <c r="AD41" s="27"/>
      <c r="AE41" s="20">
        <f t="shared" si="8"/>
        <v>-112.23021582733827</v>
      </c>
      <c r="AF41" s="111">
        <f t="shared" si="9"/>
        <v>0.9532374100719424</v>
      </c>
      <c r="AG41" s="573"/>
    </row>
    <row r="42" spans="1:33">
      <c r="A42" s="593" t="s">
        <v>408</v>
      </c>
      <c r="B42" s="39" t="s">
        <v>94</v>
      </c>
      <c r="C42" s="574" t="s">
        <v>103</v>
      </c>
      <c r="D42" s="574"/>
      <c r="E42" s="39">
        <v>20.2</v>
      </c>
      <c r="F42" s="123">
        <v>3092</v>
      </c>
      <c r="G42" s="112">
        <f t="shared" si="27"/>
        <v>62458.399999999994</v>
      </c>
      <c r="H42" s="48" t="s">
        <v>126</v>
      </c>
      <c r="I42" s="118">
        <v>15</v>
      </c>
      <c r="J42" s="43">
        <v>2400</v>
      </c>
      <c r="K42" s="18">
        <f t="shared" si="1"/>
        <v>160</v>
      </c>
      <c r="L42" s="118">
        <v>15</v>
      </c>
      <c r="M42" s="19">
        <f t="shared" si="28"/>
        <v>2290.3703703703695</v>
      </c>
      <c r="N42" s="18">
        <f t="shared" si="3"/>
        <v>152.69135802469131</v>
      </c>
      <c r="O42" s="20">
        <f t="shared" si="4"/>
        <v>0</v>
      </c>
      <c r="P42" s="21">
        <f t="shared" si="5"/>
        <v>-7.3086419753086886</v>
      </c>
      <c r="Q42" s="111">
        <f t="shared" si="6"/>
        <v>0.95432098765432072</v>
      </c>
      <c r="R42" s="573"/>
      <c r="S42" s="49">
        <v>0.27916666666666662</v>
      </c>
      <c r="T42" s="49">
        <v>0.33541666666666664</v>
      </c>
      <c r="U42" s="112">
        <f t="shared" si="30"/>
        <v>4.9999999999999822</v>
      </c>
      <c r="V42" s="119">
        <f t="shared" si="29"/>
        <v>81.000000000000028</v>
      </c>
      <c r="W42" s="112"/>
      <c r="X42" s="112"/>
      <c r="Y42" s="112"/>
      <c r="Z42" s="112"/>
      <c r="AA42" s="575"/>
      <c r="AB42" s="575"/>
      <c r="AC42" s="50"/>
      <c r="AD42" s="27"/>
      <c r="AE42" s="20">
        <f t="shared" si="8"/>
        <v>-109.62962962963047</v>
      </c>
      <c r="AF42" s="111">
        <f t="shared" si="9"/>
        <v>0.95432098765432061</v>
      </c>
      <c r="AG42" s="573"/>
    </row>
    <row r="43" spans="1:33">
      <c r="A43" s="593" t="s">
        <v>409</v>
      </c>
      <c r="B43" s="39" t="s">
        <v>94</v>
      </c>
      <c r="C43" s="574" t="s">
        <v>102</v>
      </c>
      <c r="D43" s="574"/>
      <c r="E43" s="39">
        <v>34.1</v>
      </c>
      <c r="F43" s="123">
        <v>5400</v>
      </c>
      <c r="G43" s="112">
        <f t="shared" si="27"/>
        <v>184140</v>
      </c>
      <c r="H43" s="48">
        <v>2</v>
      </c>
      <c r="I43" s="118">
        <v>17</v>
      </c>
      <c r="J43" s="43">
        <v>1600</v>
      </c>
      <c r="K43" s="18">
        <f t="shared" si="1"/>
        <v>94.117647058823536</v>
      </c>
      <c r="L43" s="118">
        <v>17</v>
      </c>
      <c r="M43" s="19">
        <f t="shared" si="28"/>
        <v>1528.3018867924532</v>
      </c>
      <c r="N43" s="18">
        <f t="shared" si="3"/>
        <v>89.900110987791365</v>
      </c>
      <c r="O43" s="20">
        <f t="shared" si="4"/>
        <v>0</v>
      </c>
      <c r="P43" s="21">
        <f t="shared" si="5"/>
        <v>-4.2175360710321712</v>
      </c>
      <c r="Q43" s="111">
        <f t="shared" si="6"/>
        <v>0.95518867924528317</v>
      </c>
      <c r="R43" s="573"/>
      <c r="S43" s="49">
        <v>0.34027777777777773</v>
      </c>
      <c r="T43" s="49">
        <v>0.48749999999999993</v>
      </c>
      <c r="U43" s="112">
        <f t="shared" si="30"/>
        <v>6.9999999999999751</v>
      </c>
      <c r="V43" s="119">
        <f t="shared" si="29"/>
        <v>211.99999999999997</v>
      </c>
      <c r="W43" s="25">
        <f>T43</f>
        <v>0.48749999999999993</v>
      </c>
      <c r="X43" s="25">
        <f>S44</f>
        <v>0.52708333333333324</v>
      </c>
      <c r="Y43" s="25"/>
      <c r="Z43" s="25"/>
      <c r="AA43" s="575"/>
      <c r="AB43" s="575"/>
      <c r="AC43" s="50"/>
      <c r="AD43" s="27"/>
      <c r="AE43" s="20">
        <f t="shared" si="8"/>
        <v>-71.698113207546839</v>
      </c>
      <c r="AF43" s="111">
        <f t="shared" si="9"/>
        <v>0.95518867924528328</v>
      </c>
      <c r="AG43" s="573"/>
    </row>
    <row r="44" spans="1:33">
      <c r="A44" s="593" t="s">
        <v>410</v>
      </c>
      <c r="B44" s="39" t="s">
        <v>94</v>
      </c>
      <c r="C44" s="574" t="s">
        <v>102</v>
      </c>
      <c r="D44" s="574"/>
      <c r="E44" s="39">
        <v>34.1</v>
      </c>
      <c r="F44" s="123">
        <v>4139</v>
      </c>
      <c r="G44" s="112">
        <f t="shared" si="27"/>
        <v>141139.9</v>
      </c>
      <c r="H44" s="48" t="s">
        <v>126</v>
      </c>
      <c r="I44" s="118">
        <v>17</v>
      </c>
      <c r="J44" s="43">
        <v>1600</v>
      </c>
      <c r="K44" s="18">
        <f t="shared" si="1"/>
        <v>94.117647058823536</v>
      </c>
      <c r="L44" s="118">
        <v>17</v>
      </c>
      <c r="M44" s="19">
        <f t="shared" si="28"/>
        <v>1523.5582822085885</v>
      </c>
      <c r="N44" s="18">
        <f t="shared" si="3"/>
        <v>89.621075424034615</v>
      </c>
      <c r="O44" s="20">
        <f t="shared" si="4"/>
        <v>0</v>
      </c>
      <c r="P44" s="21">
        <f t="shared" si="5"/>
        <v>-4.4965716347889213</v>
      </c>
      <c r="Q44" s="111">
        <f t="shared" si="6"/>
        <v>0.95222392638036768</v>
      </c>
      <c r="R44" s="573"/>
      <c r="S44" s="49">
        <v>0.52708333333333324</v>
      </c>
      <c r="T44" s="49">
        <v>0.64027777777777772</v>
      </c>
      <c r="U44" s="112">
        <f t="shared" si="30"/>
        <v>56.999999999999957</v>
      </c>
      <c r="V44" s="119">
        <f t="shared" si="29"/>
        <v>163.00000000000006</v>
      </c>
      <c r="W44" s="25"/>
      <c r="X44" s="25"/>
      <c r="Y44" s="25"/>
      <c r="Z44" s="25"/>
      <c r="AA44" s="575"/>
      <c r="AB44" s="575"/>
      <c r="AC44" s="50"/>
      <c r="AD44" s="27"/>
      <c r="AE44" s="20">
        <f t="shared" si="8"/>
        <v>-76.44171779141152</v>
      </c>
      <c r="AF44" s="111">
        <f t="shared" si="9"/>
        <v>0.95222392638036779</v>
      </c>
      <c r="AG44" s="573"/>
    </row>
    <row r="45" spans="1:33">
      <c r="A45" s="593" t="s">
        <v>409</v>
      </c>
      <c r="B45" s="39" t="s">
        <v>94</v>
      </c>
      <c r="C45" s="574" t="s">
        <v>100</v>
      </c>
      <c r="D45" s="574"/>
      <c r="E45" s="39">
        <v>24.43</v>
      </c>
      <c r="F45" s="123">
        <v>4177</v>
      </c>
      <c r="G45" s="112">
        <f t="shared" si="27"/>
        <v>102044.11</v>
      </c>
      <c r="H45" s="48" t="s">
        <v>126</v>
      </c>
      <c r="I45" s="118">
        <v>14</v>
      </c>
      <c r="J45" s="43">
        <v>2400</v>
      </c>
      <c r="K45" s="18">
        <f t="shared" si="1"/>
        <v>171.42857142857142</v>
      </c>
      <c r="L45" s="118">
        <v>14</v>
      </c>
      <c r="M45" s="19">
        <f t="shared" si="28"/>
        <v>2299.2660550458731</v>
      </c>
      <c r="N45" s="18">
        <f t="shared" si="3"/>
        <v>164.23328964613378</v>
      </c>
      <c r="O45" s="20">
        <f t="shared" si="4"/>
        <v>0</v>
      </c>
      <c r="P45" s="21">
        <f t="shared" si="5"/>
        <v>-7.1952817824376325</v>
      </c>
      <c r="Q45" s="111">
        <f t="shared" si="6"/>
        <v>0.95802752293578053</v>
      </c>
      <c r="R45" s="573"/>
      <c r="S45" s="49">
        <v>0.64374999999999993</v>
      </c>
      <c r="T45" s="49">
        <v>0.71944444444444433</v>
      </c>
      <c r="U45" s="112">
        <f t="shared" si="30"/>
        <v>4.9999999999999822</v>
      </c>
      <c r="V45" s="119">
        <f t="shared" si="29"/>
        <v>108.99999999999993</v>
      </c>
      <c r="W45" s="25"/>
      <c r="X45" s="25"/>
      <c r="Y45" s="25"/>
      <c r="Z45" s="25"/>
      <c r="AA45" s="575"/>
      <c r="AB45" s="575"/>
      <c r="AC45" s="50"/>
      <c r="AD45" s="27"/>
      <c r="AE45" s="20">
        <f t="shared" si="8"/>
        <v>-100.73394495412686</v>
      </c>
      <c r="AF45" s="111">
        <f t="shared" si="9"/>
        <v>0.95802752293578053</v>
      </c>
      <c r="AG45" s="573"/>
    </row>
    <row r="46" spans="1:33">
      <c r="A46" s="593" t="s">
        <v>407</v>
      </c>
      <c r="B46" s="39" t="s">
        <v>94</v>
      </c>
      <c r="C46" s="574" t="s">
        <v>99</v>
      </c>
      <c r="D46" s="574"/>
      <c r="E46" s="39">
        <v>20.36</v>
      </c>
      <c r="F46" s="123">
        <v>3028</v>
      </c>
      <c r="G46" s="112">
        <f t="shared" si="27"/>
        <v>61650.080000000002</v>
      </c>
      <c r="H46" s="48" t="s">
        <v>126</v>
      </c>
      <c r="I46" s="118">
        <v>18</v>
      </c>
      <c r="J46" s="43">
        <v>2400</v>
      </c>
      <c r="K46" s="18">
        <f t="shared" si="1"/>
        <v>133.33333333333334</v>
      </c>
      <c r="L46" s="118">
        <v>18</v>
      </c>
      <c r="M46" s="19">
        <f t="shared" si="28"/>
        <v>2299.7468354430366</v>
      </c>
      <c r="N46" s="18">
        <f t="shared" si="3"/>
        <v>127.7637130801687</v>
      </c>
      <c r="O46" s="20">
        <f t="shared" si="4"/>
        <v>0</v>
      </c>
      <c r="P46" s="21">
        <f t="shared" si="5"/>
        <v>-5.5696202531646435</v>
      </c>
      <c r="Q46" s="111">
        <f t="shared" si="6"/>
        <v>0.95822784810126516</v>
      </c>
      <c r="R46" s="573"/>
      <c r="S46" s="49">
        <v>0.72430555555555542</v>
      </c>
      <c r="T46" s="49">
        <v>0.77916666666666656</v>
      </c>
      <c r="U46" s="112">
        <f t="shared" si="30"/>
        <v>6.9999999999999751</v>
      </c>
      <c r="V46" s="119">
        <f t="shared" si="29"/>
        <v>79.000000000000043</v>
      </c>
      <c r="W46" s="25"/>
      <c r="X46" s="25"/>
      <c r="Y46" s="28"/>
      <c r="Z46" s="28"/>
      <c r="AA46" s="568"/>
      <c r="AB46" s="569"/>
      <c r="AC46" s="50"/>
      <c r="AD46" s="27"/>
      <c r="AE46" s="20">
        <f t="shared" si="8"/>
        <v>-100.25316455696338</v>
      </c>
      <c r="AF46" s="111">
        <f t="shared" si="9"/>
        <v>0.95822784810126527</v>
      </c>
      <c r="AG46" s="573"/>
    </row>
    <row r="47" spans="1:33">
      <c r="A47" s="593" t="s">
        <v>407</v>
      </c>
      <c r="B47" s="42" t="s">
        <v>411</v>
      </c>
      <c r="C47" s="576"/>
      <c r="D47" s="576"/>
      <c r="E47" s="113"/>
      <c r="F47" s="42"/>
      <c r="G47" s="18"/>
      <c r="H47" s="123"/>
      <c r="I47" s="32">
        <v>16.142857142857142</v>
      </c>
      <c r="J47" s="43">
        <v>2171.4285714285716</v>
      </c>
      <c r="K47" s="18">
        <f t="shared" si="1"/>
        <v>134.51327433628319</v>
      </c>
      <c r="L47" s="32">
        <v>16.142857142857142</v>
      </c>
      <c r="M47" s="19">
        <f>AVERAGE(M40:M46)</f>
        <v>2074.2746149917248</v>
      </c>
      <c r="N47" s="18">
        <f t="shared" si="3"/>
        <v>128.49488765435464</v>
      </c>
      <c r="O47" s="20">
        <f t="shared" si="4"/>
        <v>0</v>
      </c>
      <c r="P47" s="21">
        <f t="shared" si="5"/>
        <v>-6.018386681928547</v>
      </c>
      <c r="Q47" s="111">
        <f t="shared" si="6"/>
        <v>0.95525804637776801</v>
      </c>
      <c r="R47" s="573"/>
      <c r="S47" s="49"/>
      <c r="T47" s="49"/>
      <c r="U47" s="18"/>
      <c r="V47" s="119"/>
      <c r="W47" s="18"/>
      <c r="X47" s="18"/>
      <c r="Y47" s="33">
        <f>SUM(Y40:Y46)</f>
        <v>0</v>
      </c>
      <c r="Z47" s="33">
        <f>SUM(Z40:Z46)</f>
        <v>0</v>
      </c>
      <c r="AA47" s="572"/>
      <c r="AB47" s="572"/>
      <c r="AC47" s="33">
        <v>7</v>
      </c>
      <c r="AD47" s="33">
        <f>SUM(AD40:AD46)</f>
        <v>0</v>
      </c>
      <c r="AE47" s="20">
        <f t="shared" si="8"/>
        <v>-97.153956436846784</v>
      </c>
      <c r="AF47" s="111">
        <f t="shared" si="9"/>
        <v>0.9552580463777679</v>
      </c>
      <c r="AG47" s="573"/>
    </row>
    <row r="48" spans="1:33" ht="15.75" customHeight="1">
      <c r="A48" s="589" t="s">
        <v>412</v>
      </c>
      <c r="B48" s="39" t="s">
        <v>104</v>
      </c>
      <c r="C48" s="566" t="s">
        <v>105</v>
      </c>
      <c r="D48" s="567"/>
      <c r="E48" s="39">
        <v>37.880000000000003</v>
      </c>
      <c r="F48" s="123">
        <v>6061</v>
      </c>
      <c r="G48" s="112">
        <f t="shared" ref="G48:G52" si="31">E48*F48</f>
        <v>229590.68000000002</v>
      </c>
      <c r="H48" s="48" t="s">
        <v>126</v>
      </c>
      <c r="I48" s="118">
        <v>13</v>
      </c>
      <c r="J48" s="43">
        <v>2000</v>
      </c>
      <c r="K48" s="18">
        <f t="shared" si="1"/>
        <v>153.84615384615384</v>
      </c>
      <c r="L48" s="118">
        <v>13</v>
      </c>
      <c r="M48" s="19">
        <f t="shared" ref="M48:M52" si="32">F48/V48*60</f>
        <v>1903.9790575916227</v>
      </c>
      <c r="N48" s="19">
        <f t="shared" si="3"/>
        <v>146.45992750704789</v>
      </c>
      <c r="O48" s="20">
        <f t="shared" si="4"/>
        <v>0</v>
      </c>
      <c r="P48" s="21">
        <f t="shared" si="5"/>
        <v>-7.3862263391059457</v>
      </c>
      <c r="Q48" s="111">
        <f t="shared" si="6"/>
        <v>0.95198952879581134</v>
      </c>
      <c r="R48" s="584">
        <f>Q53</f>
        <v>0.95734114797068059</v>
      </c>
      <c r="S48" s="49">
        <v>8.3333333333333329E-2</v>
      </c>
      <c r="T48" s="49">
        <v>0.21597222222222223</v>
      </c>
      <c r="U48" s="30"/>
      <c r="V48" s="119">
        <f t="shared" ref="V48:V52" si="33">(T48-S48)*24*60</f>
        <v>191.00000000000003</v>
      </c>
      <c r="W48" s="25">
        <f>T48</f>
        <v>0.21597222222222223</v>
      </c>
      <c r="X48" s="25">
        <f>S49</f>
        <v>0.23541666666666669</v>
      </c>
      <c r="Y48" s="28"/>
      <c r="Z48" s="28"/>
      <c r="AA48" s="568"/>
      <c r="AB48" s="569"/>
      <c r="AC48" s="50">
        <v>5</v>
      </c>
      <c r="AD48" s="27"/>
      <c r="AE48" s="20">
        <f t="shared" si="8"/>
        <v>-96.020942408377323</v>
      </c>
      <c r="AF48" s="111">
        <f t="shared" si="9"/>
        <v>0.95198952879581134</v>
      </c>
      <c r="AG48" s="584">
        <f>AF53</f>
        <v>0.95734114797068059</v>
      </c>
    </row>
    <row r="49" spans="1:33" ht="15.75" customHeight="1">
      <c r="A49" s="590" t="s">
        <v>412</v>
      </c>
      <c r="B49" s="39" t="s">
        <v>104</v>
      </c>
      <c r="C49" s="566" t="s">
        <v>106</v>
      </c>
      <c r="D49" s="567"/>
      <c r="E49" s="39">
        <v>35.119999999999997</v>
      </c>
      <c r="F49" s="123">
        <v>6190</v>
      </c>
      <c r="G49" s="112">
        <f t="shared" si="31"/>
        <v>217392.8</v>
      </c>
      <c r="H49" s="48" t="s">
        <v>126</v>
      </c>
      <c r="I49" s="118">
        <v>10</v>
      </c>
      <c r="J49" s="43">
        <v>3000</v>
      </c>
      <c r="K49" s="18">
        <f t="shared" si="1"/>
        <v>300</v>
      </c>
      <c r="L49" s="118">
        <v>10</v>
      </c>
      <c r="M49" s="19">
        <f t="shared" si="32"/>
        <v>2856.9230769230776</v>
      </c>
      <c r="N49" s="19">
        <f t="shared" si="3"/>
        <v>285.69230769230774</v>
      </c>
      <c r="O49" s="20">
        <f t="shared" si="4"/>
        <v>0</v>
      </c>
      <c r="P49" s="21">
        <f t="shared" si="5"/>
        <v>-14.307692307692264</v>
      </c>
      <c r="Q49" s="111">
        <f t="shared" si="6"/>
        <v>0.95230769230769241</v>
      </c>
      <c r="R49" s="585"/>
      <c r="S49" s="49">
        <v>0.23541666666666669</v>
      </c>
      <c r="T49" s="49">
        <v>0.32569444444444445</v>
      </c>
      <c r="U49" s="112">
        <f t="shared" ref="U49:U52" si="34">(S49-T48)*24*60</f>
        <v>28.000000000000021</v>
      </c>
      <c r="V49" s="119">
        <f t="shared" si="33"/>
        <v>129.99999999999997</v>
      </c>
      <c r="W49" s="25"/>
      <c r="X49" s="25"/>
      <c r="Y49" s="28"/>
      <c r="Z49" s="28"/>
      <c r="AA49" s="568"/>
      <c r="AB49" s="569"/>
      <c r="AC49" s="50"/>
      <c r="AD49" s="27"/>
      <c r="AE49" s="20">
        <f t="shared" si="8"/>
        <v>-143.07692307692241</v>
      </c>
      <c r="AF49" s="111">
        <f t="shared" si="9"/>
        <v>0.95230769230769252</v>
      </c>
      <c r="AG49" s="585"/>
    </row>
    <row r="50" spans="1:33" ht="15.75" customHeight="1">
      <c r="A50" s="590" t="s">
        <v>412</v>
      </c>
      <c r="B50" s="39" t="s">
        <v>104</v>
      </c>
      <c r="C50" s="566" t="s">
        <v>107</v>
      </c>
      <c r="D50" s="567"/>
      <c r="E50" s="39">
        <v>21.13</v>
      </c>
      <c r="F50" s="123">
        <v>6123</v>
      </c>
      <c r="G50" s="112">
        <f t="shared" si="31"/>
        <v>129378.98999999999</v>
      </c>
      <c r="H50" s="48" t="s">
        <v>126</v>
      </c>
      <c r="I50" s="118">
        <v>10</v>
      </c>
      <c r="J50" s="43">
        <v>3000</v>
      </c>
      <c r="K50" s="18">
        <f t="shared" si="1"/>
        <v>300</v>
      </c>
      <c r="L50" s="118">
        <v>10</v>
      </c>
      <c r="M50" s="19">
        <f t="shared" si="32"/>
        <v>2870.1562499999995</v>
      </c>
      <c r="N50" s="19">
        <f t="shared" si="3"/>
        <v>287.01562499999994</v>
      </c>
      <c r="O50" s="20">
        <f t="shared" si="4"/>
        <v>0</v>
      </c>
      <c r="P50" s="21">
        <f t="shared" si="5"/>
        <v>-12.984375000000057</v>
      </c>
      <c r="Q50" s="111">
        <f t="shared" si="6"/>
        <v>0.95671874999999984</v>
      </c>
      <c r="R50" s="585"/>
      <c r="S50" s="49">
        <v>0.33124999999999999</v>
      </c>
      <c r="T50" s="49">
        <v>0.4201388888888889</v>
      </c>
      <c r="U50" s="112">
        <f t="shared" si="34"/>
        <v>7.9999999999999716</v>
      </c>
      <c r="V50" s="119">
        <f t="shared" si="33"/>
        <v>128.00000000000003</v>
      </c>
      <c r="W50" s="25"/>
      <c r="X50" s="25"/>
      <c r="Y50" s="28"/>
      <c r="Z50" s="28"/>
      <c r="AA50" s="568"/>
      <c r="AB50" s="569"/>
      <c r="AC50" s="50"/>
      <c r="AD50" s="27"/>
      <c r="AE50" s="20">
        <f t="shared" si="8"/>
        <v>-129.84375000000045</v>
      </c>
      <c r="AF50" s="111">
        <f t="shared" si="9"/>
        <v>0.95671874999999984</v>
      </c>
      <c r="AG50" s="585"/>
    </row>
    <row r="51" spans="1:33" ht="15.75" customHeight="1">
      <c r="A51" s="590" t="s">
        <v>413</v>
      </c>
      <c r="B51" s="39" t="s">
        <v>104</v>
      </c>
      <c r="C51" s="566" t="s">
        <v>108</v>
      </c>
      <c r="D51" s="567"/>
      <c r="E51" s="39">
        <v>27.17</v>
      </c>
      <c r="F51" s="123">
        <v>4700</v>
      </c>
      <c r="G51" s="112">
        <f t="shared" si="31"/>
        <v>127699.00000000001</v>
      </c>
      <c r="H51" s="48">
        <v>2</v>
      </c>
      <c r="I51" s="118">
        <v>10</v>
      </c>
      <c r="J51" s="43">
        <v>3000</v>
      </c>
      <c r="K51" s="18">
        <f t="shared" si="1"/>
        <v>300</v>
      </c>
      <c r="L51" s="118">
        <v>10</v>
      </c>
      <c r="M51" s="19">
        <f t="shared" si="32"/>
        <v>2877.5510204081643</v>
      </c>
      <c r="N51" s="19">
        <f t="shared" si="3"/>
        <v>287.75510204081644</v>
      </c>
      <c r="O51" s="20">
        <f t="shared" si="4"/>
        <v>0</v>
      </c>
      <c r="P51" s="21">
        <f t="shared" si="5"/>
        <v>-12.244897959183561</v>
      </c>
      <c r="Q51" s="111">
        <f t="shared" si="6"/>
        <v>0.95918367346938815</v>
      </c>
      <c r="R51" s="585"/>
      <c r="S51" s="49">
        <v>0.4236111111111111</v>
      </c>
      <c r="T51" s="49">
        <v>0.49166666666666664</v>
      </c>
      <c r="U51" s="112">
        <f t="shared" si="34"/>
        <v>4.9999999999999822</v>
      </c>
      <c r="V51" s="119">
        <f t="shared" si="33"/>
        <v>97.999999999999972</v>
      </c>
      <c r="W51" s="25">
        <f>T51</f>
        <v>0.49166666666666664</v>
      </c>
      <c r="X51" s="25">
        <f>S52</f>
        <v>0.53194444444444444</v>
      </c>
      <c r="Y51" s="28"/>
      <c r="Z51" s="28"/>
      <c r="AA51" s="568"/>
      <c r="AB51" s="569"/>
      <c r="AC51" s="50"/>
      <c r="AD51" s="27"/>
      <c r="AE51" s="20">
        <f t="shared" si="8"/>
        <v>-122.44897959183572</v>
      </c>
      <c r="AF51" s="111">
        <f t="shared" si="9"/>
        <v>0.95918367346938804</v>
      </c>
      <c r="AG51" s="585"/>
    </row>
    <row r="52" spans="1:33" ht="15.75" customHeight="1">
      <c r="A52" s="590" t="s">
        <v>61</v>
      </c>
      <c r="B52" s="39" t="s">
        <v>104</v>
      </c>
      <c r="C52" s="566" t="s">
        <v>108</v>
      </c>
      <c r="D52" s="567"/>
      <c r="E52" s="39">
        <v>27.17</v>
      </c>
      <c r="F52" s="123">
        <v>3473</v>
      </c>
      <c r="G52" s="112">
        <f t="shared" si="31"/>
        <v>94361.41</v>
      </c>
      <c r="H52" s="48" t="s">
        <v>126</v>
      </c>
      <c r="I52" s="118">
        <v>10</v>
      </c>
      <c r="J52" s="43">
        <v>3000</v>
      </c>
      <c r="K52" s="18">
        <f t="shared" si="1"/>
        <v>300</v>
      </c>
      <c r="L52" s="118">
        <v>10</v>
      </c>
      <c r="M52" s="19">
        <f t="shared" si="32"/>
        <v>2894.1666666666642</v>
      </c>
      <c r="N52" s="19">
        <f t="shared" si="3"/>
        <v>289.4166666666664</v>
      </c>
      <c r="O52" s="20">
        <f t="shared" si="4"/>
        <v>0</v>
      </c>
      <c r="P52" s="21">
        <f t="shared" si="5"/>
        <v>-10.583333333333599</v>
      </c>
      <c r="Q52" s="111">
        <f t="shared" si="6"/>
        <v>0.96472222222222137</v>
      </c>
      <c r="R52" s="585"/>
      <c r="S52" s="49">
        <v>0.53194444444444444</v>
      </c>
      <c r="T52" s="49">
        <v>0.58194444444444449</v>
      </c>
      <c r="U52" s="112">
        <f t="shared" si="34"/>
        <v>58.000000000000036</v>
      </c>
      <c r="V52" s="119">
        <f t="shared" si="33"/>
        <v>72.000000000000057</v>
      </c>
      <c r="W52" s="25"/>
      <c r="X52" s="25"/>
      <c r="Y52" s="28"/>
      <c r="Z52" s="28"/>
      <c r="AA52" s="568"/>
      <c r="AB52" s="569"/>
      <c r="AC52" s="50"/>
      <c r="AD52" s="27"/>
      <c r="AE52" s="20">
        <f t="shared" si="8"/>
        <v>-105.83333333333576</v>
      </c>
      <c r="AF52" s="111">
        <f t="shared" si="9"/>
        <v>0.96472222222222137</v>
      </c>
      <c r="AG52" s="585"/>
    </row>
    <row r="53" spans="1:33" ht="15.75" customHeight="1">
      <c r="A53" s="591" t="s">
        <v>412</v>
      </c>
      <c r="B53" s="39" t="s">
        <v>395</v>
      </c>
      <c r="C53" s="570"/>
      <c r="D53" s="571"/>
      <c r="E53" s="109"/>
      <c r="F53" s="123"/>
      <c r="G53" s="112"/>
      <c r="H53" s="123"/>
      <c r="I53" s="32">
        <v>10.6</v>
      </c>
      <c r="J53" s="43">
        <v>2800</v>
      </c>
      <c r="K53" s="18">
        <f t="shared" si="1"/>
        <v>264.15094339622641</v>
      </c>
      <c r="L53" s="32">
        <v>10.6</v>
      </c>
      <c r="M53" s="19">
        <f>AVERAGE(M48:M52)</f>
        <v>2680.5552143179057</v>
      </c>
      <c r="N53" s="18">
        <f t="shared" si="3"/>
        <v>252.88256738848168</v>
      </c>
      <c r="O53" s="20">
        <f t="shared" si="4"/>
        <v>0</v>
      </c>
      <c r="P53" s="21">
        <f t="shared" si="5"/>
        <v>-11.268376007744735</v>
      </c>
      <c r="Q53" s="111">
        <f t="shared" si="6"/>
        <v>0.95734114797068059</v>
      </c>
      <c r="R53" s="586"/>
      <c r="S53" s="49"/>
      <c r="T53" s="49"/>
      <c r="U53" s="112"/>
      <c r="V53" s="119"/>
      <c r="W53" s="25"/>
      <c r="X53" s="25"/>
      <c r="Y53" s="33">
        <f>SUM(Y48:Y52)</f>
        <v>0</v>
      </c>
      <c r="Z53" s="33">
        <f>SUM(Z48:Z52)</f>
        <v>0</v>
      </c>
      <c r="AA53" s="587"/>
      <c r="AB53" s="588"/>
      <c r="AC53" s="33">
        <v>5</v>
      </c>
      <c r="AD53" s="33">
        <f>SUM(AD48:AD52)</f>
        <v>0</v>
      </c>
      <c r="AE53" s="20">
        <f t="shared" si="8"/>
        <v>-119.44478568209433</v>
      </c>
      <c r="AF53" s="111">
        <f t="shared" si="9"/>
        <v>0.95734114797068059</v>
      </c>
      <c r="AG53" s="586"/>
    </row>
    <row r="54" spans="1:33" ht="15.75" customHeight="1">
      <c r="A54" s="582" t="s">
        <v>414</v>
      </c>
      <c r="B54" s="39" t="s">
        <v>79</v>
      </c>
      <c r="C54" s="574" t="s">
        <v>109</v>
      </c>
      <c r="D54" s="574"/>
      <c r="E54" s="39">
        <v>46</v>
      </c>
      <c r="F54" s="45">
        <v>2680</v>
      </c>
      <c r="G54" s="112">
        <f t="shared" ref="G54:G60" si="35">E54*F54</f>
        <v>123280</v>
      </c>
      <c r="H54" s="48" t="s">
        <v>126</v>
      </c>
      <c r="I54" s="118">
        <v>17</v>
      </c>
      <c r="J54" s="43">
        <v>2000</v>
      </c>
      <c r="K54" s="18">
        <f t="shared" si="1"/>
        <v>117.64705882352941</v>
      </c>
      <c r="L54" s="118">
        <v>17</v>
      </c>
      <c r="M54" s="19">
        <f t="shared" ref="M54" si="36">F54/V54*60</f>
        <v>1914.2857142857144</v>
      </c>
      <c r="N54" s="19">
        <f t="shared" si="3"/>
        <v>112.60504201680673</v>
      </c>
      <c r="O54" s="20">
        <f t="shared" si="4"/>
        <v>0</v>
      </c>
      <c r="P54" s="21">
        <f t="shared" si="5"/>
        <v>-5.0420168067226712</v>
      </c>
      <c r="Q54" s="111">
        <f t="shared" si="6"/>
        <v>0.9571428571428573</v>
      </c>
      <c r="R54" s="573">
        <f>Q61</f>
        <v>0.9629777250735897</v>
      </c>
      <c r="S54" s="49">
        <v>0.20833333333333334</v>
      </c>
      <c r="T54" s="49">
        <v>0.26666666666666666</v>
      </c>
      <c r="U54" s="30"/>
      <c r="V54" s="119">
        <f t="shared" ref="V54:V60" si="37">(T54-S54)*24*60</f>
        <v>83.999999999999986</v>
      </c>
      <c r="W54" s="30"/>
      <c r="X54" s="30"/>
      <c r="Y54" s="30"/>
      <c r="Z54" s="30"/>
      <c r="AA54" s="575"/>
      <c r="AB54" s="575"/>
      <c r="AC54" s="50">
        <v>7</v>
      </c>
      <c r="AD54" s="27"/>
      <c r="AE54" s="20">
        <f t="shared" si="8"/>
        <v>-85.714285714285552</v>
      </c>
      <c r="AF54" s="111">
        <f t="shared" si="9"/>
        <v>0.95714285714285718</v>
      </c>
      <c r="AG54" s="573">
        <f>AF61</f>
        <v>0.9629777250735897</v>
      </c>
    </row>
    <row r="55" spans="1:33" ht="15.75" customHeight="1">
      <c r="A55" s="582" t="s">
        <v>415</v>
      </c>
      <c r="B55" s="39" t="s">
        <v>74</v>
      </c>
      <c r="C55" s="574" t="s">
        <v>110</v>
      </c>
      <c r="D55" s="574"/>
      <c r="E55" s="39">
        <v>56.43</v>
      </c>
      <c r="F55" s="45">
        <v>1679</v>
      </c>
      <c r="G55" s="112">
        <f t="shared" si="35"/>
        <v>94745.97</v>
      </c>
      <c r="H55" s="48" t="s">
        <v>126</v>
      </c>
      <c r="I55" s="118">
        <v>22</v>
      </c>
      <c r="J55" s="43">
        <v>2000</v>
      </c>
      <c r="K55" s="18">
        <f t="shared" si="1"/>
        <v>90.909090909090907</v>
      </c>
      <c r="L55" s="118">
        <v>22</v>
      </c>
      <c r="M55" s="19">
        <f>F55/V55*60</f>
        <v>1937.3076923076933</v>
      </c>
      <c r="N55" s="19">
        <f t="shared" si="3"/>
        <v>88.059440559440603</v>
      </c>
      <c r="O55" s="20">
        <f t="shared" si="4"/>
        <v>0</v>
      </c>
      <c r="P55" s="21">
        <f t="shared" si="5"/>
        <v>-2.8496503496503038</v>
      </c>
      <c r="Q55" s="111">
        <f t="shared" si="6"/>
        <v>0.96865384615384664</v>
      </c>
      <c r="R55" s="573"/>
      <c r="S55" s="49">
        <v>0.27083333333333331</v>
      </c>
      <c r="T55" s="49">
        <v>0.30694444444444441</v>
      </c>
      <c r="U55" s="112">
        <f t="shared" ref="U55:U60" si="38">IF(S55=TIME(17,0,0),"",(S55-T54)*24*60)</f>
        <v>5.9999999999999787</v>
      </c>
      <c r="V55" s="119">
        <f t="shared" si="37"/>
        <v>51.999999999999972</v>
      </c>
      <c r="W55" s="25"/>
      <c r="X55" s="25"/>
      <c r="Y55" s="25"/>
      <c r="Z55" s="25"/>
      <c r="AA55" s="575"/>
      <c r="AB55" s="575"/>
      <c r="AC55" s="50"/>
      <c r="AD55" s="27"/>
      <c r="AE55" s="20">
        <f t="shared" si="8"/>
        <v>-62.692307692306713</v>
      </c>
      <c r="AF55" s="111">
        <f t="shared" si="9"/>
        <v>0.96865384615384664</v>
      </c>
      <c r="AG55" s="573"/>
    </row>
    <row r="56" spans="1:33" ht="15.75" customHeight="1">
      <c r="A56" s="582" t="s">
        <v>416</v>
      </c>
      <c r="B56" s="39" t="s">
        <v>74</v>
      </c>
      <c r="C56" s="566" t="s">
        <v>111</v>
      </c>
      <c r="D56" s="567"/>
      <c r="E56" s="39">
        <v>51.75</v>
      </c>
      <c r="F56" s="45">
        <v>982</v>
      </c>
      <c r="G56" s="112">
        <f t="shared" si="35"/>
        <v>50818.5</v>
      </c>
      <c r="H56" s="48" t="s">
        <v>126</v>
      </c>
      <c r="I56" s="118">
        <v>25</v>
      </c>
      <c r="J56" s="43">
        <v>2000</v>
      </c>
      <c r="K56" s="18">
        <f t="shared" si="1"/>
        <v>80</v>
      </c>
      <c r="L56" s="118">
        <v>25</v>
      </c>
      <c r="M56" s="19">
        <f t="shared" ref="M56:M60" si="39">F56/V56*60</f>
        <v>1964.0000000000018</v>
      </c>
      <c r="N56" s="19">
        <f t="shared" si="3"/>
        <v>78.560000000000073</v>
      </c>
      <c r="O56" s="20">
        <f t="shared" si="4"/>
        <v>0</v>
      </c>
      <c r="P56" s="21">
        <f t="shared" si="5"/>
        <v>-1.4399999999999267</v>
      </c>
      <c r="Q56" s="111">
        <f t="shared" si="6"/>
        <v>0.98200000000000087</v>
      </c>
      <c r="R56" s="573"/>
      <c r="S56" s="49">
        <v>0.3118055555555555</v>
      </c>
      <c r="T56" s="49">
        <v>0.33263888888888882</v>
      </c>
      <c r="U56" s="112">
        <f t="shared" si="38"/>
        <v>6.9999999999999751</v>
      </c>
      <c r="V56" s="119">
        <f t="shared" si="37"/>
        <v>29.999999999999972</v>
      </c>
      <c r="W56" s="25"/>
      <c r="X56" s="25"/>
      <c r="Y56" s="28"/>
      <c r="Z56" s="28"/>
      <c r="AA56" s="575"/>
      <c r="AB56" s="575"/>
      <c r="AC56" s="50"/>
      <c r="AD56" s="27"/>
      <c r="AE56" s="20">
        <f t="shared" si="8"/>
        <v>-35.999999999998181</v>
      </c>
      <c r="AF56" s="111">
        <f t="shared" si="9"/>
        <v>0.98200000000000087</v>
      </c>
      <c r="AG56" s="573"/>
    </row>
    <row r="57" spans="1:33" ht="15.75" customHeight="1">
      <c r="A57" s="582" t="s">
        <v>415</v>
      </c>
      <c r="B57" s="39" t="s">
        <v>74</v>
      </c>
      <c r="C57" s="114" t="s">
        <v>88</v>
      </c>
      <c r="D57" s="115"/>
      <c r="E57" s="39">
        <v>59.04</v>
      </c>
      <c r="F57" s="45">
        <v>6647</v>
      </c>
      <c r="G57" s="112">
        <f t="shared" si="35"/>
        <v>392438.88</v>
      </c>
      <c r="H57" s="48" t="s">
        <v>126</v>
      </c>
      <c r="I57" s="118">
        <v>19</v>
      </c>
      <c r="J57" s="43">
        <v>2000</v>
      </c>
      <c r="K57" s="18">
        <f t="shared" si="1"/>
        <v>105.26315789473684</v>
      </c>
      <c r="L57" s="118">
        <v>19</v>
      </c>
      <c r="M57" s="19">
        <f t="shared" si="39"/>
        <v>1908.2296650717699</v>
      </c>
      <c r="N57" s="19">
        <f t="shared" si="3"/>
        <v>100.43314026693525</v>
      </c>
      <c r="O57" s="20">
        <f t="shared" si="4"/>
        <v>0</v>
      </c>
      <c r="P57" s="21">
        <f t="shared" si="5"/>
        <v>-4.8300176278015812</v>
      </c>
      <c r="Q57" s="111">
        <f t="shared" si="6"/>
        <v>0.95411483253588503</v>
      </c>
      <c r="R57" s="573"/>
      <c r="S57" s="49">
        <v>0.33611111111111103</v>
      </c>
      <c r="T57" s="49">
        <v>0.48124999999999996</v>
      </c>
      <c r="U57" s="112">
        <f t="shared" si="38"/>
        <v>4.9999999999999822</v>
      </c>
      <c r="V57" s="119">
        <f t="shared" si="37"/>
        <v>209.00000000000006</v>
      </c>
      <c r="W57" s="25"/>
      <c r="X57" s="25"/>
      <c r="Y57" s="28"/>
      <c r="Z57" s="28"/>
      <c r="AA57" s="575"/>
      <c r="AB57" s="575"/>
      <c r="AC57" s="50"/>
      <c r="AD57" s="27"/>
      <c r="AE57" s="20">
        <f t="shared" si="8"/>
        <v>-91.770334928230113</v>
      </c>
      <c r="AF57" s="111">
        <f t="shared" si="9"/>
        <v>0.95411483253588492</v>
      </c>
      <c r="AG57" s="573"/>
    </row>
    <row r="58" spans="1:33" ht="15.75" customHeight="1">
      <c r="A58" s="582" t="s">
        <v>417</v>
      </c>
      <c r="B58" s="39" t="s">
        <v>74</v>
      </c>
      <c r="C58" s="114" t="s">
        <v>112</v>
      </c>
      <c r="D58" s="115"/>
      <c r="E58" s="39">
        <v>55.32</v>
      </c>
      <c r="F58" s="45">
        <v>1730</v>
      </c>
      <c r="G58" s="112">
        <f t="shared" si="35"/>
        <v>95703.6</v>
      </c>
      <c r="H58" s="48" t="s">
        <v>126</v>
      </c>
      <c r="I58" s="118">
        <v>15</v>
      </c>
      <c r="J58" s="43">
        <v>2000</v>
      </c>
      <c r="K58" s="18">
        <f t="shared" si="1"/>
        <v>133.33333333333334</v>
      </c>
      <c r="L58" s="118">
        <v>15</v>
      </c>
      <c r="M58" s="19">
        <f t="shared" si="39"/>
        <v>1922.2222222222231</v>
      </c>
      <c r="N58" s="19">
        <f t="shared" si="3"/>
        <v>128.14814814814821</v>
      </c>
      <c r="O58" s="20">
        <f t="shared" si="4"/>
        <v>0</v>
      </c>
      <c r="P58" s="21">
        <f t="shared" si="5"/>
        <v>-5.1851851851851336</v>
      </c>
      <c r="Q58" s="111">
        <f t="shared" si="6"/>
        <v>0.96111111111111147</v>
      </c>
      <c r="R58" s="573"/>
      <c r="S58" s="49">
        <v>0.70833333333333337</v>
      </c>
      <c r="T58" s="49">
        <v>0.74583333333333335</v>
      </c>
      <c r="U58" s="112" t="str">
        <f t="shared" si="38"/>
        <v/>
      </c>
      <c r="V58" s="119">
        <f t="shared" si="37"/>
        <v>53.999999999999972</v>
      </c>
      <c r="W58" s="25"/>
      <c r="X58" s="25"/>
      <c r="Y58" s="28"/>
      <c r="Z58" s="28"/>
      <c r="AA58" s="575"/>
      <c r="AB58" s="575"/>
      <c r="AC58" s="50"/>
      <c r="AD58" s="27"/>
      <c r="AE58" s="20">
        <f t="shared" si="8"/>
        <v>-77.777777777776919</v>
      </c>
      <c r="AF58" s="111">
        <f t="shared" si="9"/>
        <v>0.96111111111111158</v>
      </c>
      <c r="AG58" s="573"/>
    </row>
    <row r="59" spans="1:33" ht="15.75" customHeight="1">
      <c r="A59" s="582" t="s">
        <v>414</v>
      </c>
      <c r="B59" s="39" t="s">
        <v>74</v>
      </c>
      <c r="C59" s="566" t="s">
        <v>113</v>
      </c>
      <c r="D59" s="567"/>
      <c r="E59" s="39">
        <v>55.56</v>
      </c>
      <c r="F59" s="45">
        <v>2307</v>
      </c>
      <c r="G59" s="112">
        <f t="shared" si="35"/>
        <v>128176.92</v>
      </c>
      <c r="H59" s="48" t="s">
        <v>126</v>
      </c>
      <c r="I59" s="118">
        <v>17</v>
      </c>
      <c r="J59" s="43">
        <v>2000</v>
      </c>
      <c r="K59" s="18">
        <f t="shared" si="1"/>
        <v>117.64705882352941</v>
      </c>
      <c r="L59" s="118">
        <v>17</v>
      </c>
      <c r="M59" s="19">
        <f t="shared" si="39"/>
        <v>1922.4999999999986</v>
      </c>
      <c r="N59" s="19">
        <f t="shared" si="3"/>
        <v>113.08823529411757</v>
      </c>
      <c r="O59" s="20">
        <f t="shared" si="4"/>
        <v>0</v>
      </c>
      <c r="P59" s="21">
        <f t="shared" si="5"/>
        <v>-4.5588235294118391</v>
      </c>
      <c r="Q59" s="111">
        <f t="shared" si="6"/>
        <v>0.96124999999999938</v>
      </c>
      <c r="R59" s="573"/>
      <c r="S59" s="49">
        <v>0.75</v>
      </c>
      <c r="T59" s="49">
        <v>0.8</v>
      </c>
      <c r="U59" s="112">
        <f t="shared" si="38"/>
        <v>5.9999999999999787</v>
      </c>
      <c r="V59" s="119">
        <f t="shared" si="37"/>
        <v>72.000000000000057</v>
      </c>
      <c r="W59" s="25"/>
      <c r="X59" s="25"/>
      <c r="Y59" s="28"/>
      <c r="Z59" s="28"/>
      <c r="AA59" s="568"/>
      <c r="AB59" s="569"/>
      <c r="AC59" s="50"/>
      <c r="AD59" s="27"/>
      <c r="AE59" s="20">
        <f t="shared" si="8"/>
        <v>-77.500000000001364</v>
      </c>
      <c r="AF59" s="111">
        <f t="shared" si="9"/>
        <v>0.96124999999999927</v>
      </c>
      <c r="AG59" s="573"/>
    </row>
    <row r="60" spans="1:33" ht="15.75" customHeight="1">
      <c r="A60" s="582" t="s">
        <v>415</v>
      </c>
      <c r="B60" s="39" t="s">
        <v>74</v>
      </c>
      <c r="C60" s="566" t="s">
        <v>114</v>
      </c>
      <c r="D60" s="567"/>
      <c r="E60" s="39">
        <v>54.29</v>
      </c>
      <c r="F60" s="45">
        <v>1116</v>
      </c>
      <c r="G60" s="112">
        <f t="shared" si="35"/>
        <v>60587.64</v>
      </c>
      <c r="H60" s="48" t="s">
        <v>126</v>
      </c>
      <c r="I60" s="118">
        <v>20</v>
      </c>
      <c r="J60" s="43">
        <v>2000</v>
      </c>
      <c r="K60" s="18">
        <f t="shared" si="1"/>
        <v>100</v>
      </c>
      <c r="L60" s="118">
        <v>20</v>
      </c>
      <c r="M60" s="19">
        <f t="shared" si="39"/>
        <v>1913.1428571428553</v>
      </c>
      <c r="N60" s="19">
        <f t="shared" si="3"/>
        <v>95.657142857142759</v>
      </c>
      <c r="O60" s="20">
        <f t="shared" si="4"/>
        <v>0</v>
      </c>
      <c r="P60" s="21">
        <f t="shared" si="5"/>
        <v>-4.3428571428572411</v>
      </c>
      <c r="Q60" s="111">
        <f t="shared" si="6"/>
        <v>0.95657142857142763</v>
      </c>
      <c r="R60" s="573"/>
      <c r="S60" s="49">
        <v>0.80555555555555558</v>
      </c>
      <c r="T60" s="49">
        <v>0.82986111111111116</v>
      </c>
      <c r="U60" s="112">
        <f t="shared" si="38"/>
        <v>7.9999999999999716</v>
      </c>
      <c r="V60" s="119">
        <f t="shared" si="37"/>
        <v>35.000000000000036</v>
      </c>
      <c r="W60" s="25"/>
      <c r="X60" s="25"/>
      <c r="Y60" s="28"/>
      <c r="Z60" s="28"/>
      <c r="AA60" s="568"/>
      <c r="AB60" s="569"/>
      <c r="AC60" s="50"/>
      <c r="AD60" s="27"/>
      <c r="AE60" s="20">
        <f t="shared" si="8"/>
        <v>-86.857142857144709</v>
      </c>
      <c r="AF60" s="111">
        <f t="shared" si="9"/>
        <v>0.95657142857142763</v>
      </c>
      <c r="AG60" s="573"/>
    </row>
    <row r="61" spans="1:33">
      <c r="A61" s="583" t="s">
        <v>62</v>
      </c>
      <c r="B61" s="39" t="s">
        <v>418</v>
      </c>
      <c r="C61" s="576"/>
      <c r="D61" s="576"/>
      <c r="E61" s="113"/>
      <c r="F61" s="42"/>
      <c r="G61" s="18"/>
      <c r="H61" s="123"/>
      <c r="I61" s="32">
        <v>19.285714285714285</v>
      </c>
      <c r="J61" s="43">
        <v>2000</v>
      </c>
      <c r="K61" s="18">
        <f t="shared" si="1"/>
        <v>103.70370370370371</v>
      </c>
      <c r="L61" s="32">
        <v>19.285714285714285</v>
      </c>
      <c r="M61" s="19">
        <f>AVERAGE(M54:M60)</f>
        <v>1925.9554501471794</v>
      </c>
      <c r="N61" s="18">
        <f t="shared" si="3"/>
        <v>99.864356674298193</v>
      </c>
      <c r="O61" s="20">
        <f t="shared" si="4"/>
        <v>0</v>
      </c>
      <c r="P61" s="21">
        <f t="shared" si="5"/>
        <v>-3.8393470294055163</v>
      </c>
      <c r="Q61" s="111">
        <f t="shared" si="6"/>
        <v>0.9629777250735897</v>
      </c>
      <c r="R61" s="573"/>
      <c r="S61" s="49"/>
      <c r="T61" s="49"/>
      <c r="U61" s="112"/>
      <c r="V61" s="119"/>
      <c r="W61" s="18"/>
      <c r="X61" s="18"/>
      <c r="Y61" s="33">
        <f>SUM(Y54:Y60)</f>
        <v>0</v>
      </c>
      <c r="Z61" s="33">
        <f>SUM(Z54:Z60)</f>
        <v>0</v>
      </c>
      <c r="AA61" s="572"/>
      <c r="AB61" s="572"/>
      <c r="AC61" s="33">
        <v>7</v>
      </c>
      <c r="AD61" s="33">
        <f>SUM(AD54:AD60)</f>
        <v>0</v>
      </c>
      <c r="AE61" s="20">
        <f>M61-J61</f>
        <v>-74.044549852820637</v>
      </c>
      <c r="AF61" s="111">
        <f t="shared" si="9"/>
        <v>0.9629777250735897</v>
      </c>
      <c r="AG61" s="573"/>
    </row>
    <row r="62" spans="1:33" ht="15.75" customHeight="1">
      <c r="A62" s="580" t="s">
        <v>419</v>
      </c>
      <c r="B62" s="123" t="s">
        <v>104</v>
      </c>
      <c r="C62" s="574" t="s">
        <v>115</v>
      </c>
      <c r="D62" s="574"/>
      <c r="E62" s="39">
        <v>34.36</v>
      </c>
      <c r="F62" s="45">
        <v>2332</v>
      </c>
      <c r="G62" s="112">
        <f t="shared" ref="G62:G67" si="40">E62*F62</f>
        <v>80127.520000000004</v>
      </c>
      <c r="H62" s="48" t="s">
        <v>126</v>
      </c>
      <c r="I62" s="118">
        <v>10</v>
      </c>
      <c r="J62" s="43">
        <v>3000</v>
      </c>
      <c r="K62" s="18">
        <f t="shared" si="1"/>
        <v>300</v>
      </c>
      <c r="L62" s="118">
        <v>10</v>
      </c>
      <c r="M62" s="19">
        <f t="shared" ref="M62:M67" si="41">F62/V62*60</f>
        <v>2855.5102040816337</v>
      </c>
      <c r="N62" s="18">
        <f t="shared" si="3"/>
        <v>285.55102040816337</v>
      </c>
      <c r="O62" s="20">
        <f t="shared" si="4"/>
        <v>0</v>
      </c>
      <c r="P62" s="21">
        <f t="shared" si="5"/>
        <v>-14.448979591836633</v>
      </c>
      <c r="Q62" s="111">
        <f t="shared" si="6"/>
        <v>0.95183673469387786</v>
      </c>
      <c r="R62" s="573">
        <f>Q68</f>
        <v>0.9576770742485029</v>
      </c>
      <c r="S62" s="49">
        <v>0.20833333333333334</v>
      </c>
      <c r="T62" s="49">
        <v>0.24236111111111111</v>
      </c>
      <c r="U62" s="112"/>
      <c r="V62" s="119">
        <f t="shared" ref="V62:V67" si="42">(T62-S62)*24*60</f>
        <v>48.999999999999986</v>
      </c>
      <c r="W62" s="30"/>
      <c r="X62" s="30"/>
      <c r="Y62" s="30"/>
      <c r="Z62" s="30"/>
      <c r="AA62" s="575"/>
      <c r="AB62" s="575"/>
      <c r="AC62" s="50">
        <v>6</v>
      </c>
      <c r="AD62" s="27"/>
      <c r="AE62" s="20">
        <f t="shared" ref="AE62:AE74" si="43">M62-J62</f>
        <v>-144.48979591836633</v>
      </c>
      <c r="AF62" s="111">
        <f t="shared" si="9"/>
        <v>0.95183673469387786</v>
      </c>
      <c r="AG62" s="573">
        <f>AF68</f>
        <v>0.9576770742485029</v>
      </c>
    </row>
    <row r="63" spans="1:33" ht="15.75" customHeight="1">
      <c r="A63" s="580" t="s">
        <v>419</v>
      </c>
      <c r="B63" s="123" t="s">
        <v>104</v>
      </c>
      <c r="C63" s="574" t="s">
        <v>116</v>
      </c>
      <c r="D63" s="574"/>
      <c r="E63" s="39">
        <v>34.36</v>
      </c>
      <c r="F63" s="45">
        <v>1215</v>
      </c>
      <c r="G63" s="112">
        <f t="shared" si="40"/>
        <v>41747.4</v>
      </c>
      <c r="H63" s="48" t="s">
        <v>126</v>
      </c>
      <c r="I63" s="118">
        <v>10</v>
      </c>
      <c r="J63" s="43">
        <v>3000</v>
      </c>
      <c r="K63" s="18">
        <f t="shared" si="1"/>
        <v>300</v>
      </c>
      <c r="L63" s="118">
        <v>10</v>
      </c>
      <c r="M63" s="19">
        <f t="shared" si="41"/>
        <v>2916.0000000000009</v>
      </c>
      <c r="N63" s="18">
        <f t="shared" si="3"/>
        <v>291.60000000000008</v>
      </c>
      <c r="O63" s="20">
        <f t="shared" si="4"/>
        <v>0</v>
      </c>
      <c r="P63" s="21">
        <f t="shared" si="5"/>
        <v>-8.3999999999999204</v>
      </c>
      <c r="Q63" s="111">
        <f t="shared" si="6"/>
        <v>0.97200000000000031</v>
      </c>
      <c r="R63" s="573"/>
      <c r="S63" s="49">
        <v>0.24791666666666667</v>
      </c>
      <c r="T63" s="49">
        <v>0.26527777777777778</v>
      </c>
      <c r="U63" s="112">
        <f t="shared" ref="U63:U67" si="44">(S63-T62)*24*60</f>
        <v>8.0000000000000107</v>
      </c>
      <c r="V63" s="119">
        <f t="shared" si="42"/>
        <v>24.999999999999993</v>
      </c>
      <c r="W63" s="112"/>
      <c r="X63" s="112"/>
      <c r="Y63" s="112"/>
      <c r="Z63" s="112"/>
      <c r="AA63" s="575"/>
      <c r="AB63" s="575"/>
      <c r="AC63" s="50"/>
      <c r="AD63" s="27"/>
      <c r="AE63" s="20">
        <f t="shared" si="43"/>
        <v>-83.999999999999091</v>
      </c>
      <c r="AF63" s="111">
        <f t="shared" si="9"/>
        <v>0.97200000000000031</v>
      </c>
      <c r="AG63" s="573"/>
    </row>
    <row r="64" spans="1:33" ht="15.75" customHeight="1">
      <c r="A64" s="580" t="s">
        <v>419</v>
      </c>
      <c r="B64" s="123" t="s">
        <v>104</v>
      </c>
      <c r="C64" s="574" t="s">
        <v>117</v>
      </c>
      <c r="D64" s="574"/>
      <c r="E64" s="39">
        <v>26.78</v>
      </c>
      <c r="F64" s="45">
        <v>2568</v>
      </c>
      <c r="G64" s="112">
        <f t="shared" si="40"/>
        <v>68771.040000000008</v>
      </c>
      <c r="H64" s="48" t="s">
        <v>126</v>
      </c>
      <c r="I64" s="118">
        <v>10</v>
      </c>
      <c r="J64" s="43">
        <v>3000</v>
      </c>
      <c r="K64" s="18">
        <f t="shared" si="1"/>
        <v>300</v>
      </c>
      <c r="L64" s="118">
        <v>10</v>
      </c>
      <c r="M64" s="19">
        <f t="shared" si="41"/>
        <v>2853.3333333333348</v>
      </c>
      <c r="N64" s="18">
        <f t="shared" si="3"/>
        <v>285.33333333333348</v>
      </c>
      <c r="O64" s="20">
        <f t="shared" si="4"/>
        <v>0</v>
      </c>
      <c r="P64" s="21">
        <f t="shared" si="5"/>
        <v>-14.666666666666515</v>
      </c>
      <c r="Q64" s="111">
        <f t="shared" si="6"/>
        <v>0.95111111111111157</v>
      </c>
      <c r="R64" s="573"/>
      <c r="S64" s="49">
        <v>0.27083333333333331</v>
      </c>
      <c r="T64" s="49">
        <v>0.30833333333333329</v>
      </c>
      <c r="U64" s="112">
        <f t="shared" si="44"/>
        <v>7.9999999999999716</v>
      </c>
      <c r="V64" s="119">
        <f t="shared" si="42"/>
        <v>53.999999999999972</v>
      </c>
      <c r="W64" s="112"/>
      <c r="X64" s="112"/>
      <c r="Y64" s="112"/>
      <c r="Z64" s="112"/>
      <c r="AA64" s="575"/>
      <c r="AB64" s="575"/>
      <c r="AC64" s="50"/>
      <c r="AD64" s="27"/>
      <c r="AE64" s="20">
        <f t="shared" si="43"/>
        <v>-146.66666666666515</v>
      </c>
      <c r="AF64" s="111">
        <f t="shared" si="9"/>
        <v>0.95111111111111157</v>
      </c>
      <c r="AG64" s="573"/>
    </row>
    <row r="65" spans="1:33" ht="15.75" customHeight="1">
      <c r="A65" s="580" t="s">
        <v>419</v>
      </c>
      <c r="B65" s="123" t="s">
        <v>104</v>
      </c>
      <c r="C65" s="574" t="s">
        <v>118</v>
      </c>
      <c r="D65" s="574"/>
      <c r="E65" s="39">
        <v>37.880000000000003</v>
      </c>
      <c r="F65" s="45">
        <v>1869</v>
      </c>
      <c r="G65" s="112">
        <f t="shared" si="40"/>
        <v>70797.72</v>
      </c>
      <c r="H65" s="48" t="s">
        <v>126</v>
      </c>
      <c r="I65" s="118">
        <v>10</v>
      </c>
      <c r="J65" s="43">
        <v>3000</v>
      </c>
      <c r="K65" s="18">
        <f t="shared" si="1"/>
        <v>300</v>
      </c>
      <c r="L65" s="118">
        <v>10</v>
      </c>
      <c r="M65" s="19">
        <f t="shared" si="41"/>
        <v>2875.3846153846139</v>
      </c>
      <c r="N65" s="18">
        <f t="shared" si="3"/>
        <v>287.53846153846138</v>
      </c>
      <c r="O65" s="20">
        <f t="shared" si="4"/>
        <v>0</v>
      </c>
      <c r="P65" s="21">
        <f t="shared" si="5"/>
        <v>-12.461538461538623</v>
      </c>
      <c r="Q65" s="111">
        <f t="shared" si="6"/>
        <v>0.95846153846153792</v>
      </c>
      <c r="R65" s="573"/>
      <c r="S65" s="49">
        <v>0.31249999999999994</v>
      </c>
      <c r="T65" s="49">
        <v>0.33958333333333329</v>
      </c>
      <c r="U65" s="112">
        <f t="shared" si="44"/>
        <v>5.9999999999999787</v>
      </c>
      <c r="V65" s="119">
        <f t="shared" si="42"/>
        <v>39.000000000000021</v>
      </c>
      <c r="W65" s="112"/>
      <c r="X65" s="112"/>
      <c r="Y65" s="112"/>
      <c r="Z65" s="112"/>
      <c r="AA65" s="575"/>
      <c r="AB65" s="575"/>
      <c r="AC65" s="50"/>
      <c r="AD65" s="27"/>
      <c r="AE65" s="20">
        <f t="shared" si="43"/>
        <v>-124.61538461538612</v>
      </c>
      <c r="AF65" s="111">
        <f t="shared" si="9"/>
        <v>0.95846153846153792</v>
      </c>
      <c r="AG65" s="573"/>
    </row>
    <row r="66" spans="1:33">
      <c r="A66" s="581" t="s">
        <v>420</v>
      </c>
      <c r="B66" s="123" t="s">
        <v>104</v>
      </c>
      <c r="C66" s="574" t="s">
        <v>119</v>
      </c>
      <c r="D66" s="574"/>
      <c r="E66" s="39">
        <v>35.869999999999997</v>
      </c>
      <c r="F66" s="45">
        <v>4128</v>
      </c>
      <c r="G66" s="112">
        <f t="shared" si="40"/>
        <v>148071.35999999999</v>
      </c>
      <c r="H66" s="48" t="s">
        <v>126</v>
      </c>
      <c r="I66" s="118">
        <v>9</v>
      </c>
      <c r="J66" s="43">
        <v>3000</v>
      </c>
      <c r="K66" s="18">
        <f t="shared" si="1"/>
        <v>333.33333333333331</v>
      </c>
      <c r="L66" s="118">
        <v>9</v>
      </c>
      <c r="M66" s="19">
        <f t="shared" si="41"/>
        <v>2879.9999999999995</v>
      </c>
      <c r="N66" s="18">
        <f t="shared" si="3"/>
        <v>319.99999999999994</v>
      </c>
      <c r="O66" s="20">
        <f t="shared" si="4"/>
        <v>0</v>
      </c>
      <c r="P66" s="21">
        <f t="shared" si="5"/>
        <v>-13.333333333333371</v>
      </c>
      <c r="Q66" s="111">
        <f t="shared" si="6"/>
        <v>0.95999999999999985</v>
      </c>
      <c r="R66" s="573"/>
      <c r="S66" s="49">
        <v>0.34374999999999994</v>
      </c>
      <c r="T66" s="49">
        <v>0.40347222222222218</v>
      </c>
      <c r="U66" s="112">
        <f t="shared" si="44"/>
        <v>5.9999999999999787</v>
      </c>
      <c r="V66" s="119">
        <f t="shared" si="42"/>
        <v>86.000000000000014</v>
      </c>
      <c r="W66" s="25"/>
      <c r="X66" s="25"/>
      <c r="Y66" s="25"/>
      <c r="Z66" s="25"/>
      <c r="AA66" s="575"/>
      <c r="AB66" s="575"/>
      <c r="AC66" s="50"/>
      <c r="AD66" s="27"/>
      <c r="AE66" s="20">
        <f t="shared" si="43"/>
        <v>-120.00000000000045</v>
      </c>
      <c r="AF66" s="111">
        <f t="shared" si="9"/>
        <v>0.95999999999999985</v>
      </c>
      <c r="AG66" s="573"/>
    </row>
    <row r="67" spans="1:33" ht="15" customHeight="1">
      <c r="A67" s="581" t="s">
        <v>419</v>
      </c>
      <c r="B67" s="123" t="s">
        <v>104</v>
      </c>
      <c r="C67" s="566" t="s">
        <v>120</v>
      </c>
      <c r="D67" s="567"/>
      <c r="E67" s="39">
        <v>34.35</v>
      </c>
      <c r="F67" s="45">
        <v>2334</v>
      </c>
      <c r="G67" s="112">
        <f t="shared" si="40"/>
        <v>80172.900000000009</v>
      </c>
      <c r="H67" s="48" t="s">
        <v>126</v>
      </c>
      <c r="I67" s="118">
        <v>8</v>
      </c>
      <c r="J67" s="43">
        <v>3000</v>
      </c>
      <c r="K67" s="18">
        <f t="shared" si="1"/>
        <v>375</v>
      </c>
      <c r="L67" s="118">
        <v>8</v>
      </c>
      <c r="M67" s="19">
        <f t="shared" si="41"/>
        <v>2857.9591836734703</v>
      </c>
      <c r="N67" s="18">
        <f t="shared" si="3"/>
        <v>357.24489795918379</v>
      </c>
      <c r="O67" s="20">
        <f t="shared" si="4"/>
        <v>0</v>
      </c>
      <c r="P67" s="21">
        <f t="shared" si="5"/>
        <v>-17.755102040816212</v>
      </c>
      <c r="Q67" s="111">
        <f t="shared" si="6"/>
        <v>0.95265306122449012</v>
      </c>
      <c r="R67" s="573"/>
      <c r="S67" s="49">
        <v>0.40763888888888883</v>
      </c>
      <c r="T67" s="49">
        <v>0.4416666666666666</v>
      </c>
      <c r="U67" s="112">
        <f t="shared" si="44"/>
        <v>5.9999999999999787</v>
      </c>
      <c r="V67" s="119">
        <f t="shared" si="42"/>
        <v>48.999999999999986</v>
      </c>
      <c r="W67" s="112"/>
      <c r="X67" s="112"/>
      <c r="Y67" s="116"/>
      <c r="Z67" s="116"/>
      <c r="AA67" s="568"/>
      <c r="AB67" s="569"/>
      <c r="AC67" s="50"/>
      <c r="AD67" s="27"/>
      <c r="AE67" s="20">
        <f t="shared" si="43"/>
        <v>-142.04081632652969</v>
      </c>
      <c r="AF67" s="111">
        <f t="shared" si="9"/>
        <v>0.95265306122449012</v>
      </c>
      <c r="AG67" s="573"/>
    </row>
    <row r="68" spans="1:33">
      <c r="A68" s="581" t="s">
        <v>420</v>
      </c>
      <c r="B68" s="39" t="s">
        <v>421</v>
      </c>
      <c r="C68" s="576"/>
      <c r="D68" s="576"/>
      <c r="E68" s="113"/>
      <c r="F68" s="42"/>
      <c r="G68" s="18"/>
      <c r="H68" s="123"/>
      <c r="I68" s="32">
        <v>9.5</v>
      </c>
      <c r="J68" s="43">
        <v>3000</v>
      </c>
      <c r="K68" s="18">
        <f t="shared" si="1"/>
        <v>315.78947368421052</v>
      </c>
      <c r="L68" s="32">
        <v>9.5</v>
      </c>
      <c r="M68" s="19">
        <f>AVERAGE(M62:M67)</f>
        <v>2873.0312227455088</v>
      </c>
      <c r="N68" s="18">
        <f t="shared" si="3"/>
        <v>302.42433923636935</v>
      </c>
      <c r="O68" s="20">
        <f t="shared" si="4"/>
        <v>0</v>
      </c>
      <c r="P68" s="21">
        <f t="shared" si="5"/>
        <v>-13.365134447841172</v>
      </c>
      <c r="Q68" s="111">
        <f t="shared" si="6"/>
        <v>0.9576770742485029</v>
      </c>
      <c r="R68" s="573"/>
      <c r="S68" s="49"/>
      <c r="T68" s="49"/>
      <c r="U68" s="18"/>
      <c r="V68" s="119"/>
      <c r="W68" s="18"/>
      <c r="X68" s="18"/>
      <c r="Y68" s="33">
        <f>SUM(Y62:Y67)</f>
        <v>0</v>
      </c>
      <c r="Z68" s="33">
        <f>SUM(Z62:Z67)</f>
        <v>0</v>
      </c>
      <c r="AA68" s="572"/>
      <c r="AB68" s="572"/>
      <c r="AC68" s="33">
        <v>6</v>
      </c>
      <c r="AD68" s="33">
        <f>SUM(AD62:AD67)</f>
        <v>0</v>
      </c>
      <c r="AE68" s="20">
        <f t="shared" si="43"/>
        <v>-126.96877725449121</v>
      </c>
      <c r="AF68" s="111">
        <f t="shared" si="9"/>
        <v>0.9576770742485029</v>
      </c>
      <c r="AG68" s="573"/>
    </row>
    <row r="69" spans="1:33" ht="15.75" customHeight="1">
      <c r="A69" s="577" t="s">
        <v>422</v>
      </c>
      <c r="B69" s="123" t="s">
        <v>94</v>
      </c>
      <c r="C69" s="574" t="s">
        <v>121</v>
      </c>
      <c r="D69" s="574"/>
      <c r="E69" s="39">
        <v>26.2</v>
      </c>
      <c r="F69" s="123">
        <v>7000</v>
      </c>
      <c r="G69" s="112">
        <f t="shared" ref="G69:G73" si="45">E69*F69</f>
        <v>183400</v>
      </c>
      <c r="H69" s="48">
        <v>2</v>
      </c>
      <c r="I69" s="118">
        <v>18</v>
      </c>
      <c r="J69" s="43">
        <v>2400</v>
      </c>
      <c r="K69" s="18">
        <f t="shared" ref="K69:K74" si="46">J69/I69</f>
        <v>133.33333333333334</v>
      </c>
      <c r="L69" s="118">
        <v>18</v>
      </c>
      <c r="M69" s="19">
        <f t="shared" ref="M69:M73" si="47">F69/V69*60</f>
        <v>2282.6086956521735</v>
      </c>
      <c r="N69" s="18">
        <f t="shared" ref="N69:N74" si="48">M69/L69</f>
        <v>126.81159420289853</v>
      </c>
      <c r="O69" s="20">
        <f t="shared" ref="O69:O74" si="49">L69-I69</f>
        <v>0</v>
      </c>
      <c r="P69" s="21">
        <f t="shared" ref="P69:P74" si="50">N69-K69</f>
        <v>-6.5217391304348098</v>
      </c>
      <c r="Q69" s="111">
        <f t="shared" ref="Q69:Q74" si="51">N69/K69</f>
        <v>0.95108695652173891</v>
      </c>
      <c r="R69" s="573">
        <f>Q74</f>
        <v>0.95312229446974139</v>
      </c>
      <c r="S69" s="49">
        <v>8.3333333333333329E-2</v>
      </c>
      <c r="T69" s="49">
        <v>0.21111111111111114</v>
      </c>
      <c r="U69" s="30"/>
      <c r="V69" s="119">
        <f t="shared" ref="V69:V73" si="52">(T69-S69)*24*60</f>
        <v>184.00000000000006</v>
      </c>
      <c r="W69" s="25">
        <f>T69</f>
        <v>0.21111111111111114</v>
      </c>
      <c r="X69" s="25">
        <f>S70</f>
        <v>0.23125000000000004</v>
      </c>
      <c r="Y69" s="25"/>
      <c r="Z69" s="25"/>
      <c r="AA69" s="575"/>
      <c r="AB69" s="575"/>
      <c r="AC69" s="50">
        <v>5</v>
      </c>
      <c r="AD69" s="27"/>
      <c r="AE69" s="20">
        <f t="shared" si="43"/>
        <v>-117.39130434782646</v>
      </c>
      <c r="AF69" s="111">
        <f t="shared" ref="AF69:AF74" si="53">M69/J69</f>
        <v>0.95108695652173902</v>
      </c>
      <c r="AG69" s="573">
        <f>AF74</f>
        <v>0.95312229446974128</v>
      </c>
    </row>
    <row r="70" spans="1:33" ht="15.75" customHeight="1">
      <c r="A70" s="578" t="s">
        <v>423</v>
      </c>
      <c r="B70" s="123" t="s">
        <v>94</v>
      </c>
      <c r="C70" s="574" t="s">
        <v>124</v>
      </c>
      <c r="D70" s="574"/>
      <c r="E70" s="39">
        <v>22.69</v>
      </c>
      <c r="F70" s="123">
        <v>6004</v>
      </c>
      <c r="G70" s="112">
        <f t="shared" si="45"/>
        <v>136230.76</v>
      </c>
      <c r="H70" s="48" t="s">
        <v>126</v>
      </c>
      <c r="I70" s="118">
        <v>15</v>
      </c>
      <c r="J70" s="43">
        <v>2400</v>
      </c>
      <c r="K70" s="18">
        <f t="shared" si="46"/>
        <v>160</v>
      </c>
      <c r="L70" s="118">
        <v>15</v>
      </c>
      <c r="M70" s="19">
        <f t="shared" si="47"/>
        <v>2294.5222929936308</v>
      </c>
      <c r="N70" s="18">
        <f t="shared" si="48"/>
        <v>152.96815286624206</v>
      </c>
      <c r="O70" s="20">
        <f t="shared" si="49"/>
        <v>0</v>
      </c>
      <c r="P70" s="21">
        <f t="shared" si="50"/>
        <v>-7.0318471337579354</v>
      </c>
      <c r="Q70" s="111">
        <f t="shared" si="51"/>
        <v>0.95605095541401286</v>
      </c>
      <c r="R70" s="573"/>
      <c r="S70" s="49">
        <v>0.23125000000000004</v>
      </c>
      <c r="T70" s="49">
        <v>0.34027777777777779</v>
      </c>
      <c r="U70" s="112">
        <f t="shared" ref="U70:U73" si="54">(S70-T69)*24*60</f>
        <v>29.000000000000018</v>
      </c>
      <c r="V70" s="119">
        <f t="shared" si="52"/>
        <v>156.99999999999997</v>
      </c>
      <c r="W70" s="25"/>
      <c r="X70" s="25"/>
      <c r="Y70" s="25"/>
      <c r="Z70" s="25"/>
      <c r="AA70" s="575"/>
      <c r="AB70" s="575"/>
      <c r="AC70" s="50"/>
      <c r="AD70" s="27"/>
      <c r="AE70" s="20">
        <f t="shared" si="43"/>
        <v>-105.4777070063692</v>
      </c>
      <c r="AF70" s="111">
        <f t="shared" si="53"/>
        <v>0.95605095541401286</v>
      </c>
      <c r="AG70" s="573"/>
    </row>
    <row r="71" spans="1:33" ht="15.75" customHeight="1">
      <c r="A71" s="578" t="s">
        <v>423</v>
      </c>
      <c r="B71" s="123" t="s">
        <v>94</v>
      </c>
      <c r="C71" s="574" t="s">
        <v>125</v>
      </c>
      <c r="D71" s="574"/>
      <c r="E71" s="39">
        <v>19.02</v>
      </c>
      <c r="F71" s="123">
        <v>8200</v>
      </c>
      <c r="G71" s="112">
        <f t="shared" si="45"/>
        <v>155964</v>
      </c>
      <c r="H71" s="48">
        <v>2</v>
      </c>
      <c r="I71" s="118">
        <v>14</v>
      </c>
      <c r="J71" s="43">
        <v>2400</v>
      </c>
      <c r="K71" s="18">
        <f t="shared" si="46"/>
        <v>171.42857142857142</v>
      </c>
      <c r="L71" s="118">
        <v>14</v>
      </c>
      <c r="M71" s="19">
        <f t="shared" si="47"/>
        <v>2288.3720930232557</v>
      </c>
      <c r="N71" s="18">
        <f t="shared" si="48"/>
        <v>163.45514950166111</v>
      </c>
      <c r="O71" s="20">
        <f t="shared" si="49"/>
        <v>0</v>
      </c>
      <c r="P71" s="21">
        <f t="shared" si="50"/>
        <v>-7.973421926910305</v>
      </c>
      <c r="Q71" s="111">
        <f t="shared" si="51"/>
        <v>0.95348837209302317</v>
      </c>
      <c r="R71" s="573"/>
      <c r="S71" s="49">
        <v>0.34375</v>
      </c>
      <c r="T71" s="49">
        <v>0.49305555555555558</v>
      </c>
      <c r="U71" s="112">
        <f t="shared" si="54"/>
        <v>4.9999999999999822</v>
      </c>
      <c r="V71" s="119">
        <f t="shared" si="52"/>
        <v>215.00000000000003</v>
      </c>
      <c r="W71" s="25">
        <f>T71</f>
        <v>0.49305555555555558</v>
      </c>
      <c r="X71" s="25">
        <f>S72</f>
        <v>0.53333333333333333</v>
      </c>
      <c r="Y71" s="25"/>
      <c r="Z71" s="25"/>
      <c r="AA71" s="575"/>
      <c r="AB71" s="575"/>
      <c r="AC71" s="50"/>
      <c r="AD71" s="27"/>
      <c r="AE71" s="20">
        <f t="shared" si="43"/>
        <v>-111.62790697674427</v>
      </c>
      <c r="AF71" s="111">
        <f t="shared" si="53"/>
        <v>0.95348837209302317</v>
      </c>
      <c r="AG71" s="573"/>
    </row>
    <row r="72" spans="1:33" ht="15.75" customHeight="1">
      <c r="A72" s="578" t="s">
        <v>424</v>
      </c>
      <c r="B72" s="123" t="s">
        <v>94</v>
      </c>
      <c r="C72" s="574" t="s">
        <v>125</v>
      </c>
      <c r="D72" s="574"/>
      <c r="E72" s="39">
        <v>19.02</v>
      </c>
      <c r="F72" s="123">
        <v>6478</v>
      </c>
      <c r="G72" s="112">
        <f t="shared" si="45"/>
        <v>123211.56</v>
      </c>
      <c r="H72" s="48" t="s">
        <v>126</v>
      </c>
      <c r="I72" s="118">
        <v>14</v>
      </c>
      <c r="J72" s="43">
        <v>2400</v>
      </c>
      <c r="K72" s="18">
        <f t="shared" si="46"/>
        <v>171.42857142857142</v>
      </c>
      <c r="L72" s="118">
        <v>14</v>
      </c>
      <c r="M72" s="19">
        <f t="shared" si="47"/>
        <v>2286.3529411764703</v>
      </c>
      <c r="N72" s="18">
        <f t="shared" si="48"/>
        <v>163.31092436974788</v>
      </c>
      <c r="O72" s="20">
        <f t="shared" si="49"/>
        <v>0</v>
      </c>
      <c r="P72" s="21">
        <f t="shared" si="50"/>
        <v>-8.1176470588235361</v>
      </c>
      <c r="Q72" s="111">
        <f t="shared" si="51"/>
        <v>0.9526470588235294</v>
      </c>
      <c r="R72" s="573"/>
      <c r="S72" s="49">
        <v>0.53333333333333333</v>
      </c>
      <c r="T72" s="49">
        <v>0.65138888888888891</v>
      </c>
      <c r="U72" s="112">
        <f t="shared" si="54"/>
        <v>57.999999999999957</v>
      </c>
      <c r="V72" s="119">
        <f t="shared" si="52"/>
        <v>170.00000000000003</v>
      </c>
      <c r="W72" s="25"/>
      <c r="X72" s="25"/>
      <c r="Y72" s="25"/>
      <c r="Z72" s="25"/>
      <c r="AA72" s="575"/>
      <c r="AB72" s="575"/>
      <c r="AC72" s="50"/>
      <c r="AD72" s="27"/>
      <c r="AE72" s="20">
        <f t="shared" si="43"/>
        <v>-113.64705882352973</v>
      </c>
      <c r="AF72" s="111">
        <f t="shared" si="53"/>
        <v>0.95264705882352929</v>
      </c>
      <c r="AG72" s="573"/>
    </row>
    <row r="73" spans="1:33" ht="15.75" customHeight="1">
      <c r="A73" s="578" t="s">
        <v>424</v>
      </c>
      <c r="B73" s="123" t="s">
        <v>94</v>
      </c>
      <c r="C73" s="574" t="s">
        <v>121</v>
      </c>
      <c r="D73" s="574"/>
      <c r="E73" s="39">
        <v>26.2</v>
      </c>
      <c r="F73" s="123">
        <v>5295</v>
      </c>
      <c r="G73" s="112">
        <f t="shared" si="45"/>
        <v>138729</v>
      </c>
      <c r="H73" s="48" t="s">
        <v>126</v>
      </c>
      <c r="I73" s="118">
        <v>18</v>
      </c>
      <c r="J73" s="43">
        <v>2400</v>
      </c>
      <c r="K73" s="18">
        <f t="shared" si="46"/>
        <v>133.33333333333334</v>
      </c>
      <c r="L73" s="118">
        <v>18</v>
      </c>
      <c r="M73" s="19">
        <f t="shared" si="47"/>
        <v>2285.611510791367</v>
      </c>
      <c r="N73" s="18">
        <f t="shared" si="48"/>
        <v>126.97841726618705</v>
      </c>
      <c r="O73" s="20">
        <f t="shared" si="49"/>
        <v>0</v>
      </c>
      <c r="P73" s="21">
        <f t="shared" si="50"/>
        <v>-6.3549160671462914</v>
      </c>
      <c r="Q73" s="111">
        <f t="shared" si="51"/>
        <v>0.95233812949640284</v>
      </c>
      <c r="R73" s="573"/>
      <c r="S73" s="49">
        <v>0.65486111111111112</v>
      </c>
      <c r="T73" s="49">
        <v>0.75138888888888888</v>
      </c>
      <c r="U73" s="112">
        <f t="shared" si="54"/>
        <v>4.9999999999999822</v>
      </c>
      <c r="V73" s="119">
        <f t="shared" si="52"/>
        <v>139</v>
      </c>
      <c r="W73" s="25"/>
      <c r="X73" s="25"/>
      <c r="Y73" s="25"/>
      <c r="Z73" s="25"/>
      <c r="AA73" s="575"/>
      <c r="AB73" s="575"/>
      <c r="AC73" s="50"/>
      <c r="AD73" s="27"/>
      <c r="AE73" s="20">
        <f t="shared" si="43"/>
        <v>-114.38848920863302</v>
      </c>
      <c r="AF73" s="111">
        <f t="shared" si="53"/>
        <v>0.95233812949640295</v>
      </c>
      <c r="AG73" s="573"/>
    </row>
    <row r="74" spans="1:33" ht="16.5" customHeight="1">
      <c r="A74" s="579" t="s">
        <v>424</v>
      </c>
      <c r="B74" s="39" t="s">
        <v>411</v>
      </c>
      <c r="C74" s="570"/>
      <c r="D74" s="571"/>
      <c r="E74" s="113"/>
      <c r="F74" s="42"/>
      <c r="G74" s="18"/>
      <c r="H74" s="123"/>
      <c r="I74" s="32">
        <v>15.8</v>
      </c>
      <c r="J74" s="43">
        <v>2400</v>
      </c>
      <c r="K74" s="18">
        <f t="shared" si="46"/>
        <v>151.89873417721518</v>
      </c>
      <c r="L74" s="32">
        <v>15.8</v>
      </c>
      <c r="M74" s="19">
        <f>AVERAGE(M69:M73)</f>
        <v>2287.4935067273791</v>
      </c>
      <c r="N74" s="18">
        <f t="shared" si="48"/>
        <v>144.77807004603665</v>
      </c>
      <c r="O74" s="20">
        <f t="shared" si="49"/>
        <v>0</v>
      </c>
      <c r="P74" s="21">
        <f t="shared" si="50"/>
        <v>-7.120664131178529</v>
      </c>
      <c r="Q74" s="111">
        <f t="shared" si="51"/>
        <v>0.95312229446974139</v>
      </c>
      <c r="R74" s="573"/>
      <c r="S74" s="49"/>
      <c r="T74" s="49"/>
      <c r="U74" s="18"/>
      <c r="V74" s="119"/>
      <c r="W74" s="18"/>
      <c r="X74" s="18"/>
      <c r="Y74" s="33">
        <f>SUM(Y69:Y73)</f>
        <v>0</v>
      </c>
      <c r="Z74" s="33">
        <f>SUM(Z69:Z73)</f>
        <v>0</v>
      </c>
      <c r="AA74" s="572"/>
      <c r="AB74" s="572"/>
      <c r="AC74" s="33">
        <v>5</v>
      </c>
      <c r="AD74" s="33">
        <f>SUM(AD69:AD73)</f>
        <v>0</v>
      </c>
      <c r="AE74" s="20">
        <f t="shared" si="43"/>
        <v>-112.5064932726209</v>
      </c>
      <c r="AF74" s="111">
        <f t="shared" si="53"/>
        <v>0.95312229446974128</v>
      </c>
      <c r="AG74" s="573"/>
    </row>
    <row r="75" spans="1:33">
      <c r="D75" s="35"/>
      <c r="E75" s="35"/>
    </row>
  </sheetData>
  <mergeCells count="195">
    <mergeCell ref="AG62:AG68"/>
    <mergeCell ref="C63:D63"/>
    <mergeCell ref="AA63:AB63"/>
    <mergeCell ref="C64:D64"/>
    <mergeCell ref="AA64:AB64"/>
    <mergeCell ref="C65:D65"/>
    <mergeCell ref="AG69:AG74"/>
    <mergeCell ref="C70:D70"/>
    <mergeCell ref="AA70:AB70"/>
    <mergeCell ref="C71:D71"/>
    <mergeCell ref="AA71:AB71"/>
    <mergeCell ref="C72:D72"/>
    <mergeCell ref="AA65:AB65"/>
    <mergeCell ref="C66:D66"/>
    <mergeCell ref="AA66:AB66"/>
    <mergeCell ref="C67:D67"/>
    <mergeCell ref="AA67:AB67"/>
    <mergeCell ref="C68:D68"/>
    <mergeCell ref="AA68:AB68"/>
    <mergeCell ref="AA72:AB72"/>
    <mergeCell ref="C73:D73"/>
    <mergeCell ref="AA73:AB73"/>
    <mergeCell ref="C74:D74"/>
    <mergeCell ref="AA74:AB74"/>
    <mergeCell ref="A69:A74"/>
    <mergeCell ref="C69:D69"/>
    <mergeCell ref="R69:R74"/>
    <mergeCell ref="AA69:AB69"/>
    <mergeCell ref="A48:A53"/>
    <mergeCell ref="C48:D48"/>
    <mergeCell ref="R48:R53"/>
    <mergeCell ref="AA48:AB48"/>
    <mergeCell ref="AA53:AB53"/>
    <mergeCell ref="C60:D60"/>
    <mergeCell ref="AA60:AB60"/>
    <mergeCell ref="C61:D61"/>
    <mergeCell ref="AA61:AB61"/>
    <mergeCell ref="A54:A61"/>
    <mergeCell ref="C54:D54"/>
    <mergeCell ref="R54:R61"/>
    <mergeCell ref="AA54:AB54"/>
    <mergeCell ref="A62:A68"/>
    <mergeCell ref="C62:D62"/>
    <mergeCell ref="R62:R68"/>
    <mergeCell ref="AA62:AB62"/>
    <mergeCell ref="AG54:AG61"/>
    <mergeCell ref="C55:D55"/>
    <mergeCell ref="AA55:AB55"/>
    <mergeCell ref="C56:D56"/>
    <mergeCell ref="AA56:AB56"/>
    <mergeCell ref="AA57:AB57"/>
    <mergeCell ref="AG48:AG53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C53:D53"/>
    <mergeCell ref="AA58:AB58"/>
    <mergeCell ref="C59:D59"/>
    <mergeCell ref="AA59:AB59"/>
    <mergeCell ref="A40:A47"/>
    <mergeCell ref="C40:D40"/>
    <mergeCell ref="R40:R47"/>
    <mergeCell ref="AA40:AB40"/>
    <mergeCell ref="C46:D46"/>
    <mergeCell ref="AA46:AB46"/>
    <mergeCell ref="C47:D47"/>
    <mergeCell ref="AA47:AB47"/>
    <mergeCell ref="A32:A39"/>
    <mergeCell ref="C32:D32"/>
    <mergeCell ref="R32:R39"/>
    <mergeCell ref="AA32:AB32"/>
    <mergeCell ref="AA37:AB37"/>
    <mergeCell ref="C38:D38"/>
    <mergeCell ref="AA38:AB38"/>
    <mergeCell ref="C39:D39"/>
    <mergeCell ref="AG40:AG47"/>
    <mergeCell ref="C41:D41"/>
    <mergeCell ref="AA41:AB41"/>
    <mergeCell ref="C42:D42"/>
    <mergeCell ref="AA42:AB42"/>
    <mergeCell ref="AG32:AG39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C43:D43"/>
    <mergeCell ref="AA43:AB43"/>
    <mergeCell ref="C44:D44"/>
    <mergeCell ref="AA44:AB44"/>
    <mergeCell ref="C45:D45"/>
    <mergeCell ref="AA45:AB45"/>
    <mergeCell ref="AA39:AB39"/>
    <mergeCell ref="AG25:AG31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C31:D31"/>
    <mergeCell ref="AA31:AB31"/>
    <mergeCell ref="A25:A31"/>
    <mergeCell ref="C25:D25"/>
    <mergeCell ref="R25:R31"/>
    <mergeCell ref="AA25:AB25"/>
    <mergeCell ref="AA30:AB30"/>
    <mergeCell ref="A16:A24"/>
    <mergeCell ref="C16:D16"/>
    <mergeCell ref="R16:R24"/>
    <mergeCell ref="AA16:AB16"/>
    <mergeCell ref="AG16:AG24"/>
    <mergeCell ref="C17:D17"/>
    <mergeCell ref="AA17:AB17"/>
    <mergeCell ref="C18:D18"/>
    <mergeCell ref="AA18:AB18"/>
    <mergeCell ref="C19:D19"/>
    <mergeCell ref="AG11:AG15"/>
    <mergeCell ref="C12:D12"/>
    <mergeCell ref="AA12:AB12"/>
    <mergeCell ref="C13:D13"/>
    <mergeCell ref="AA13:AB13"/>
    <mergeCell ref="C14:D14"/>
    <mergeCell ref="AA14:AB14"/>
    <mergeCell ref="C15:D15"/>
    <mergeCell ref="AA15:AB15"/>
    <mergeCell ref="AA19:AB19"/>
    <mergeCell ref="C20:D20"/>
    <mergeCell ref="AA20:AB20"/>
    <mergeCell ref="C24:D24"/>
    <mergeCell ref="AA24:AB24"/>
    <mergeCell ref="A11:A15"/>
    <mergeCell ref="C11:D11"/>
    <mergeCell ref="R11:R15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1:O62 O65:O74 O5:O11 O15:O17 O24:O59">
    <cfRule type="cellIs" dxfId="218" priority="51" operator="greaterThan">
      <formula>0</formula>
    </cfRule>
  </conditionalFormatting>
  <conditionalFormatting sqref="P5:P9 P65:P67 AE65:AE67 P69:P73 P32:P38 P62 P11 P15:P17 P54:P59 P25:P30 P40:P52 AE5:AE62 AE69:AE74">
    <cfRule type="cellIs" dxfId="217" priority="55" operator="lessThan">
      <formula>0</formula>
    </cfRule>
  </conditionalFormatting>
  <conditionalFormatting sqref="AF65:AF67 Q61:Q62 Q65:Q74 Q5:Q11 Q15:Q17 Q24:Q59 AF5:AF62 AF69:AF74">
    <cfRule type="cellIs" dxfId="216" priority="52" operator="greaterThan">
      <formula>1</formula>
    </cfRule>
    <cfRule type="cellIs" dxfId="215" priority="53" operator="lessThan">
      <formula>0.8</formula>
    </cfRule>
  </conditionalFormatting>
  <conditionalFormatting sqref="AG16:AG17 R16:R17 AG65 AG61:AG62 R61:R62 R65:R74 AG5:AG11 R5:R11 R24:R59 AG24:AG59">
    <cfRule type="cellIs" dxfId="214" priority="57" operator="lessThan">
      <formula>0.8</formula>
    </cfRule>
  </conditionalFormatting>
  <conditionalFormatting sqref="AG48">
    <cfRule type="cellIs" dxfId="213" priority="59" operator="lessThan">
      <formula>0.8</formula>
    </cfRule>
  </conditionalFormatting>
  <conditionalFormatting sqref="AG25:AG30">
    <cfRule type="cellIs" dxfId="212" priority="56" operator="lessThan">
      <formula>0.8</formula>
    </cfRule>
  </conditionalFormatting>
  <conditionalFormatting sqref="AG32">
    <cfRule type="cellIs" dxfId="211" priority="58" operator="lessThan">
      <formula>0.8</formula>
    </cfRule>
  </conditionalFormatting>
  <conditionalFormatting sqref="AG40:AG46">
    <cfRule type="cellIs" dxfId="210" priority="54" operator="lessThan">
      <formula>0.8</formula>
    </cfRule>
  </conditionalFormatting>
  <conditionalFormatting sqref="AE68">
    <cfRule type="cellIs" dxfId="209" priority="50" operator="lessThan">
      <formula>0</formula>
    </cfRule>
  </conditionalFormatting>
  <conditionalFormatting sqref="AF68">
    <cfRule type="cellIs" dxfId="208" priority="48" operator="greaterThan">
      <formula>1</formula>
    </cfRule>
    <cfRule type="cellIs" dxfId="207" priority="49" operator="lessThan">
      <formula>0.8</formula>
    </cfRule>
  </conditionalFormatting>
  <conditionalFormatting sqref="O18:O19">
    <cfRule type="cellIs" dxfId="206" priority="43" operator="greaterThan">
      <formula>0</formula>
    </cfRule>
  </conditionalFormatting>
  <conditionalFormatting sqref="P18:P19">
    <cfRule type="cellIs" dxfId="205" priority="46" operator="lessThan">
      <formula>0</formula>
    </cfRule>
  </conditionalFormatting>
  <conditionalFormatting sqref="Q18:Q19">
    <cfRule type="cellIs" dxfId="204" priority="44" operator="greaterThan">
      <formula>1</formula>
    </cfRule>
    <cfRule type="cellIs" dxfId="203" priority="45" operator="lessThan">
      <formula>0.8</formula>
    </cfRule>
  </conditionalFormatting>
  <conditionalFormatting sqref="R18:R19 AG18:AG19">
    <cfRule type="cellIs" dxfId="202" priority="47" operator="lessThan">
      <formula>0.8</formula>
    </cfRule>
  </conditionalFormatting>
  <conditionalFormatting sqref="O12:O14">
    <cfRule type="cellIs" dxfId="201" priority="39" operator="greaterThan">
      <formula>0</formula>
    </cfRule>
  </conditionalFormatting>
  <conditionalFormatting sqref="P12:P14">
    <cfRule type="cellIs" dxfId="200" priority="42" operator="lessThan">
      <formula>0</formula>
    </cfRule>
  </conditionalFormatting>
  <conditionalFormatting sqref="Q12:Q14">
    <cfRule type="cellIs" dxfId="199" priority="40" operator="greaterThan">
      <formula>1</formula>
    </cfRule>
    <cfRule type="cellIs" dxfId="198" priority="41" operator="lessThan">
      <formula>0.8</formula>
    </cfRule>
  </conditionalFormatting>
  <conditionalFormatting sqref="O60">
    <cfRule type="cellIs" dxfId="197" priority="34" operator="greaterThan">
      <formula>0</formula>
    </cfRule>
  </conditionalFormatting>
  <conditionalFormatting sqref="P60">
    <cfRule type="cellIs" dxfId="196" priority="37" operator="lessThan">
      <formula>0</formula>
    </cfRule>
  </conditionalFormatting>
  <conditionalFormatting sqref="Q60">
    <cfRule type="cellIs" dxfId="195" priority="35" operator="greaterThan">
      <formula>1</formula>
    </cfRule>
    <cfRule type="cellIs" dxfId="194" priority="36" operator="lessThan">
      <formula>0.8</formula>
    </cfRule>
  </conditionalFormatting>
  <conditionalFormatting sqref="R60 AG60">
    <cfRule type="cellIs" dxfId="193" priority="38" operator="lessThan">
      <formula>0.8</formula>
    </cfRule>
  </conditionalFormatting>
  <conditionalFormatting sqref="O64">
    <cfRule type="cellIs" dxfId="192" priority="29" operator="greaterThan">
      <formula>0</formula>
    </cfRule>
  </conditionalFormatting>
  <conditionalFormatting sqref="P64 AE64">
    <cfRule type="cellIs" dxfId="191" priority="32" operator="lessThan">
      <formula>0</formula>
    </cfRule>
  </conditionalFormatting>
  <conditionalFormatting sqref="Q64 AF64">
    <cfRule type="cellIs" dxfId="190" priority="30" operator="greaterThan">
      <formula>1</formula>
    </cfRule>
    <cfRule type="cellIs" dxfId="189" priority="31" operator="lessThan">
      <formula>0.8</formula>
    </cfRule>
  </conditionalFormatting>
  <conditionalFormatting sqref="R64 AG64">
    <cfRule type="cellIs" dxfId="188" priority="33" operator="lessThan">
      <formula>0.8</formula>
    </cfRule>
  </conditionalFormatting>
  <conditionalFormatting sqref="O20:O21">
    <cfRule type="cellIs" dxfId="187" priority="24" operator="greaterThan">
      <formula>0</formula>
    </cfRule>
  </conditionalFormatting>
  <conditionalFormatting sqref="P20:P21">
    <cfRule type="cellIs" dxfId="186" priority="27" operator="lessThan">
      <formula>0</formula>
    </cfRule>
  </conditionalFormatting>
  <conditionalFormatting sqref="Q20:Q21">
    <cfRule type="cellIs" dxfId="185" priority="25" operator="greaterThan">
      <formula>1</formula>
    </cfRule>
    <cfRule type="cellIs" dxfId="184" priority="26" operator="lessThan">
      <formula>0.8</formula>
    </cfRule>
  </conditionalFormatting>
  <conditionalFormatting sqref="R20:R21 AG20:AG21">
    <cfRule type="cellIs" dxfId="183" priority="28" operator="lessThan">
      <formula>0.8</formula>
    </cfRule>
  </conditionalFormatting>
  <conditionalFormatting sqref="O63">
    <cfRule type="cellIs" dxfId="182" priority="19" operator="greaterThan">
      <formula>0</formula>
    </cfRule>
  </conditionalFormatting>
  <conditionalFormatting sqref="P63 AE63">
    <cfRule type="cellIs" dxfId="181" priority="22" operator="lessThan">
      <formula>0</formula>
    </cfRule>
  </conditionalFormatting>
  <conditionalFormatting sqref="Q63 AF63">
    <cfRule type="cellIs" dxfId="180" priority="20" operator="greaterThan">
      <formula>1</formula>
    </cfRule>
    <cfRule type="cellIs" dxfId="179" priority="21" operator="lessThan">
      <formula>0.8</formula>
    </cfRule>
  </conditionalFormatting>
  <conditionalFormatting sqref="R63 AG63">
    <cfRule type="cellIs" dxfId="178" priority="23" operator="lessThan">
      <formula>0.8</formula>
    </cfRule>
  </conditionalFormatting>
  <conditionalFormatting sqref="O22">
    <cfRule type="cellIs" dxfId="177" priority="14" operator="greaterThan">
      <formula>0</formula>
    </cfRule>
  </conditionalFormatting>
  <conditionalFormatting sqref="P22">
    <cfRule type="cellIs" dxfId="176" priority="17" operator="lessThan">
      <formula>0</formula>
    </cfRule>
  </conditionalFormatting>
  <conditionalFormatting sqref="Q22">
    <cfRule type="cellIs" dxfId="175" priority="15" operator="greaterThan">
      <formula>1</formula>
    </cfRule>
    <cfRule type="cellIs" dxfId="174" priority="16" operator="lessThan">
      <formula>0.8</formula>
    </cfRule>
  </conditionalFormatting>
  <conditionalFormatting sqref="AG22 R22">
    <cfRule type="cellIs" dxfId="173" priority="18" operator="lessThan">
      <formula>0.8</formula>
    </cfRule>
  </conditionalFormatting>
  <conditionalFormatting sqref="O23">
    <cfRule type="cellIs" dxfId="172" priority="9" operator="greaterThan">
      <formula>0</formula>
    </cfRule>
  </conditionalFormatting>
  <conditionalFormatting sqref="P23">
    <cfRule type="cellIs" dxfId="171" priority="12" operator="lessThan">
      <formula>0</formula>
    </cfRule>
  </conditionalFormatting>
  <conditionalFormatting sqref="Q23">
    <cfRule type="cellIs" dxfId="170" priority="10" operator="greaterThan">
      <formula>1</formula>
    </cfRule>
    <cfRule type="cellIs" dxfId="169" priority="11" operator="lessThan">
      <formula>0.8</formula>
    </cfRule>
  </conditionalFormatting>
  <conditionalFormatting sqref="AG23 R23">
    <cfRule type="cellIs" dxfId="168" priority="13" operator="lessThan">
      <formula>0.8</formula>
    </cfRule>
  </conditionalFormatting>
  <conditionalFormatting sqref="P10">
    <cfRule type="cellIs" dxfId="167" priority="8" operator="lessThan">
      <formula>0</formula>
    </cfRule>
  </conditionalFormatting>
  <conditionalFormatting sqref="P24">
    <cfRule type="cellIs" dxfId="166" priority="7" operator="lessThan">
      <formula>0</formula>
    </cfRule>
  </conditionalFormatting>
  <conditionalFormatting sqref="P31">
    <cfRule type="cellIs" dxfId="165" priority="6" operator="lessThan">
      <formula>0</formula>
    </cfRule>
  </conditionalFormatting>
  <conditionalFormatting sqref="P39">
    <cfRule type="cellIs" dxfId="164" priority="5" operator="lessThan">
      <formula>0</formula>
    </cfRule>
  </conditionalFormatting>
  <conditionalFormatting sqref="P53">
    <cfRule type="cellIs" dxfId="163" priority="4" operator="lessThan">
      <formula>0</formula>
    </cfRule>
  </conditionalFormatting>
  <conditionalFormatting sqref="P61">
    <cfRule type="cellIs" dxfId="162" priority="3" operator="lessThan">
      <formula>0</formula>
    </cfRule>
  </conditionalFormatting>
  <conditionalFormatting sqref="P68">
    <cfRule type="cellIs" dxfId="161" priority="2" operator="lessThan">
      <formula>0</formula>
    </cfRule>
  </conditionalFormatting>
  <conditionalFormatting sqref="P74">
    <cfRule type="cellIs" dxfId="160" priority="1" operator="lessThan">
      <formula>0</formula>
    </cfRule>
  </conditionalFormatting>
  <dataValidations count="1">
    <dataValidation type="list" allowBlank="1" showInputMessage="1" showErrorMessage="1" sqref="AB10 AA5:AB9 AB66:AB67 AA10:AA67 AB12:AB62 AA68:AB7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B1:Q32"/>
  <sheetViews>
    <sheetView zoomScale="85" zoomScaleNormal="85" workbookViewId="0"/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191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192</v>
      </c>
      <c r="C3" s="555" t="str">
        <f>TEXT('0502 4度C'!A2,"yyyy.mm.ddaaaa")</f>
        <v>2026.05.02星期六</v>
      </c>
      <c r="D3" s="556"/>
      <c r="E3" s="54" t="s">
        <v>193</v>
      </c>
      <c r="F3" s="557">
        <f>'0502 4度C'!D1</f>
        <v>150644</v>
      </c>
      <c r="G3" s="558"/>
      <c r="H3" s="54" t="s">
        <v>194</v>
      </c>
      <c r="I3" s="559">
        <f>'0502 4度C'!F1</f>
        <v>5181744.8900000015</v>
      </c>
      <c r="J3" s="560"/>
      <c r="K3" s="55"/>
      <c r="L3" s="56"/>
      <c r="M3" s="57"/>
      <c r="N3" s="57"/>
    </row>
    <row r="4" spans="2:17" ht="28.5" customHeight="1">
      <c r="B4" s="561" t="s">
        <v>195</v>
      </c>
      <c r="C4" s="547" t="s">
        <v>196</v>
      </c>
      <c r="D4" s="548"/>
      <c r="E4" s="564" t="s">
        <v>197</v>
      </c>
      <c r="F4" s="565"/>
      <c r="G4" s="564" t="s">
        <v>198</v>
      </c>
      <c r="H4" s="565"/>
      <c r="I4" s="564" t="s">
        <v>199</v>
      </c>
      <c r="J4" s="565"/>
      <c r="K4" s="545" t="s">
        <v>200</v>
      </c>
      <c r="L4" s="546"/>
      <c r="M4" s="546" t="s">
        <v>201</v>
      </c>
      <c r="N4" s="546"/>
    </row>
    <row r="5" spans="2:17" ht="28.5" customHeight="1">
      <c r="B5" s="562"/>
      <c r="C5" s="547" t="s">
        <v>202</v>
      </c>
      <c r="D5" s="548"/>
      <c r="E5" s="547" t="s">
        <v>203</v>
      </c>
      <c r="F5" s="548"/>
      <c r="G5" s="549" t="s">
        <v>204</v>
      </c>
      <c r="H5" s="550"/>
      <c r="I5" s="551" t="s">
        <v>205</v>
      </c>
      <c r="J5" s="552"/>
      <c r="K5" s="58" t="s">
        <v>206</v>
      </c>
      <c r="L5" s="59" t="s">
        <v>207</v>
      </c>
      <c r="M5" s="58" t="s">
        <v>208</v>
      </c>
      <c r="N5" s="59" t="s">
        <v>209</v>
      </c>
    </row>
    <row r="6" spans="2:17" ht="28.5" customHeight="1">
      <c r="B6" s="562"/>
      <c r="C6" s="547" t="s">
        <v>145</v>
      </c>
      <c r="D6" s="548"/>
      <c r="E6" s="539">
        <f>AVERAGE(D13:M13)</f>
        <v>151.27136571883756</v>
      </c>
      <c r="F6" s="540">
        <f>AVERAGE(D31:O31,D13:J13)</f>
        <v>157.02864443915496</v>
      </c>
      <c r="G6" s="541">
        <f>AVERAGE(D13:J13)</f>
        <v>157.02864443915496</v>
      </c>
      <c r="H6" s="542"/>
      <c r="I6" s="541">
        <f>AVERAGE(K13:M13)</f>
        <v>137.83771537143025</v>
      </c>
      <c r="J6" s="542"/>
      <c r="K6" s="543">
        <f>'0502 4度C'!Y2</f>
        <v>0</v>
      </c>
      <c r="L6" s="528">
        <f>'0502 4度C'!Z2</f>
        <v>0</v>
      </c>
      <c r="M6" s="544">
        <f>'0502 4度C'!AC2</f>
        <v>50</v>
      </c>
      <c r="N6" s="528">
        <f>'0502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145.05357257806293</v>
      </c>
      <c r="F7" s="532">
        <f>AVERAGE(D32:O32,D14:J14)</f>
        <v>150.81841406682108</v>
      </c>
      <c r="G7" s="533">
        <f>AVERAGE(D14:J14)</f>
        <v>150.81841406682108</v>
      </c>
      <c r="H7" s="534"/>
      <c r="I7" s="533">
        <f>AVERAGE(K14:M14)</f>
        <v>131.60227577096055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0.95823670394116645</v>
      </c>
      <c r="F8" s="536">
        <f>AVERAGE(D15:J15,D33:O33)</f>
        <v>0.95973450328198673</v>
      </c>
      <c r="G8" s="537">
        <f>AVERAGE(D15:J15)</f>
        <v>0.95973450328198673</v>
      </c>
      <c r="H8" s="538"/>
      <c r="I8" s="537">
        <f>AVERAGE(K15:M15)</f>
        <v>0.95474183881258556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148</v>
      </c>
      <c r="N9" s="57"/>
      <c r="O9" s="57"/>
      <c r="P9" s="57"/>
      <c r="Q9" s="57"/>
    </row>
    <row r="10" spans="2:17" ht="30" customHeight="1">
      <c r="B10" s="511" t="s">
        <v>210</v>
      </c>
      <c r="C10" s="512"/>
      <c r="D10" s="513" t="s">
        <v>150</v>
      </c>
      <c r="E10" s="514"/>
      <c r="F10" s="514"/>
      <c r="G10" s="514"/>
      <c r="H10" s="514"/>
      <c r="I10" s="514"/>
      <c r="J10" s="515"/>
      <c r="K10" s="516" t="s">
        <v>151</v>
      </c>
      <c r="L10" s="517"/>
      <c r="M10" s="518"/>
      <c r="P10" s="63"/>
      <c r="Q10" s="63"/>
    </row>
    <row r="11" spans="2:17" ht="17.25" customHeight="1">
      <c r="B11" s="519" t="s">
        <v>211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212</v>
      </c>
      <c r="C13" s="70" t="s">
        <v>213</v>
      </c>
      <c r="D13" s="71">
        <f>SUMIFS('0502 4度C'!$K:$K,'0502 4度C'!$A:$A,"新豐6線",'0502 4度C'!$B:$B,"平均")</f>
        <v>119.40298507462687</v>
      </c>
      <c r="E13" s="72">
        <f>SUMIFS('0502 4度C'!$K:$K,'0502 4度C'!$A:$A,"新豐2線",'0502 4度C'!$B:$B,"平均")</f>
        <v>83.333333333333329</v>
      </c>
      <c r="F13" s="73">
        <f>SUMIFS('0502 4度C'!$K:$K,'0502 4度C'!$A:$A,"新豐5線",'0502 4度C'!$B:$B,"平均")</f>
        <v>97.701149425287369</v>
      </c>
      <c r="G13" s="73">
        <f>SUMIFS('0502 4度C'!$K:$K,'0502 4度C'!$A:$A,"新豐7線",'0502 4度C'!$B:$B,"平均")</f>
        <v>123.71134020618555</v>
      </c>
      <c r="H13" s="73">
        <f>SUMIFS('0502 4度C'!$K:$K,'0502 4度C'!$A:$A,"新豐3線",'0502 4度C'!$B:$B,"平均")</f>
        <v>255.81395348837211</v>
      </c>
      <c r="I13" s="73">
        <f>SUMIFS('0502 4度C'!$K:$K,'0502 4度C'!$A:$A,"新豐1線",'0502 4度C'!$B:$B,"平均")</f>
        <v>103.44827586206897</v>
      </c>
      <c r="J13" s="74">
        <f>SUMIFS('0502 4度C'!$K:$K,'0502 4度C'!$A:$A,"新豐10線",'0502 4度C'!$B:$B,"平均")</f>
        <v>315.78947368421052</v>
      </c>
      <c r="K13" s="75">
        <f>SUMIFS('0502 4度C'!$K:$K,'0502 4度C'!$A:$A,"新豐8線",'0502 4度C'!$B:$B,"平均")</f>
        <v>134.83146067415728</v>
      </c>
      <c r="L13" s="76">
        <f>SUMIFS('0502 4度C'!$K:$K,'0502 4度C'!$A:$A,"新豐9線",'0502 4度C'!$B:$B,"平均")</f>
        <v>125.49019607843138</v>
      </c>
      <c r="M13" s="74">
        <f>SUMIFS('0502 4度C'!$K:$K,'0502 4度C'!$A:$A,"新豐4線",'0502 4度C'!$B:$B,"平均")</f>
        <v>153.19148936170214</v>
      </c>
    </row>
    <row r="14" spans="2:17" ht="39.6" customHeight="1">
      <c r="B14" s="524"/>
      <c r="C14" s="77" t="s">
        <v>165</v>
      </c>
      <c r="D14" s="78">
        <f>SUMIFS('0502 4度C'!$N:$N,'0502 4度C'!$A:$A,"新豐6線",'0502 4度C'!$B:$B,"平均")</f>
        <v>114.89214418485527</v>
      </c>
      <c r="E14" s="79">
        <f>SUMIFS('0502 4度C'!$N:$N,'0502 4度C'!$A:$A,"新豐2線",'0502 4度C'!$B:$B,"平均")</f>
        <v>79.65592769803294</v>
      </c>
      <c r="F14" s="79">
        <f>SUMIFS('0502 4度C'!$N:$N,'0502 4度C'!$A:$A,"新豐5線",'0502 4度C'!$B:$B,"平均")</f>
        <v>93.310430154129506</v>
      </c>
      <c r="G14" s="79">
        <f>SUMIFS('0502 4度C'!$N:$N,'0502 4度C'!$A:$A,"新豐7線",'0502 4度C'!$B:$B,"平均")</f>
        <v>118.4332530722186</v>
      </c>
      <c r="H14" s="79">
        <f>SUMIFS('0502 4度C'!$N:$N,'0502 4度C'!$A:$A,"新豐3線",'0502 4度C'!$B:$B,"平均")</f>
        <v>245.24255929207584</v>
      </c>
      <c r="I14" s="79">
        <f>SUMIFS('0502 4度C'!$N:$N,'0502 4度C'!$A:$A,"新豐1線",'0502 4度C'!$B:$B,"平均")</f>
        <v>99.850545935797371</v>
      </c>
      <c r="J14" s="80">
        <f>SUMIFS('0502 4度C'!$N:$N,'0502 4度C'!$A:$A,"新豐10線",'0502 4度C'!$B:$B,"平均")</f>
        <v>304.34403813063807</v>
      </c>
      <c r="K14" s="81">
        <f>SUMIFS('0502 4度C'!$N:$N,'0502 4度C'!$A:$A,"新豐8線",'0502 4度C'!$B:$B,"平均")</f>
        <v>128.7924365148564</v>
      </c>
      <c r="L14" s="82">
        <f>SUMIFS('0502 4度C'!$N:$N,'0502 4度C'!$A:$A,"新豐9線",'0502 4度C'!$B:$B,"平均")</f>
        <v>119.73313165795985</v>
      </c>
      <c r="M14" s="80">
        <f>SUMIFS('0502 4度C'!$N:$N,'0502 4度C'!$A:$A,"新豐4線",'0502 4度C'!$B:$B,"平均")</f>
        <v>146.28125914006537</v>
      </c>
    </row>
    <row r="15" spans="2:17" ht="40.15" customHeight="1">
      <c r="B15" s="525"/>
      <c r="C15" s="83" t="s">
        <v>214</v>
      </c>
      <c r="D15" s="84">
        <f t="shared" ref="D15:M15" si="0">D14/D13</f>
        <v>0.96222170754816283</v>
      </c>
      <c r="E15" s="85">
        <f t="shared" si="0"/>
        <v>0.95587113237639532</v>
      </c>
      <c r="F15" s="85">
        <f t="shared" si="0"/>
        <v>0.95505969687167835</v>
      </c>
      <c r="G15" s="85">
        <f t="shared" si="0"/>
        <v>0.95733546233376721</v>
      </c>
      <c r="H15" s="85">
        <f t="shared" si="0"/>
        <v>0.95867545905084184</v>
      </c>
      <c r="I15" s="85">
        <f t="shared" si="0"/>
        <v>0.96522194404604122</v>
      </c>
      <c r="J15" s="86">
        <f t="shared" si="0"/>
        <v>0.96375612074702055</v>
      </c>
      <c r="K15" s="84">
        <f t="shared" si="0"/>
        <v>0.95521057081851846</v>
      </c>
      <c r="L15" s="85">
        <f t="shared" si="0"/>
        <v>0.95412339289936743</v>
      </c>
      <c r="M15" s="86">
        <f t="shared" si="0"/>
        <v>0.95489155271987114</v>
      </c>
    </row>
    <row r="16" spans="2:17" ht="17.25" customHeight="1">
      <c r="B16" s="526" t="s">
        <v>215</v>
      </c>
      <c r="C16" s="87" t="s">
        <v>216</v>
      </c>
      <c r="D16" s="88">
        <f>VLOOKUP("新豐6線",'0502 4度C'!$A:$T,19,0)</f>
        <v>0.70833333333333337</v>
      </c>
      <c r="E16" s="89">
        <f>VLOOKUP("新豐2線",'0502 4度C'!$A:$T,19,0)</f>
        <v>0.20833333333333334</v>
      </c>
      <c r="F16" s="89">
        <f>VLOOKUP("新豐5線",'0502 4度C'!$A:$T,19,0)</f>
        <v>0.20833333333333334</v>
      </c>
      <c r="G16" s="89">
        <f>VLOOKUP("新豐7線",'0502 4度C'!$A:$T,19,0)</f>
        <v>0.20833333333333334</v>
      </c>
      <c r="H16" s="89">
        <f>VLOOKUP("新豐3線",'0502 4度C'!$A:$T,19,0)</f>
        <v>8.3333333333333329E-2</v>
      </c>
      <c r="I16" s="89">
        <f>VLOOKUP("新豐1線",'0502 4度C'!$A:$T,19,0)</f>
        <v>0.20833333333333334</v>
      </c>
      <c r="J16" s="90">
        <f>VLOOKUP("新豐10線",'0502 4度C'!$A:$T,19,0)</f>
        <v>0.20833333333333334</v>
      </c>
      <c r="K16" s="91">
        <f>VLOOKUP("新豐8線",'0502 4度C'!$A:$T,19,0)</f>
        <v>8.3333333333333329E-2</v>
      </c>
      <c r="L16" s="92">
        <f>VLOOKUP("新豐9線",'0502 4度C'!$A:$T,19,0)</f>
        <v>8.3333333333333329E-2</v>
      </c>
      <c r="M16" s="93">
        <f>VLOOKUP("新豐4線",'0502 4度C'!$A:$T,19,0)</f>
        <v>8.3333333333333329E-2</v>
      </c>
    </row>
    <row r="17" spans="2:13" ht="17.25" customHeight="1">
      <c r="B17" s="527"/>
      <c r="C17" s="87" t="s">
        <v>217</v>
      </c>
      <c r="D17" s="91">
        <f>LOOKUP(2,1/(('0502 4度C'!$A:$A="新豐6線")*('0502 4度C'!$T:$T&lt;&gt;"")),'0502 4度C'!$T:$T)</f>
        <v>0.84930555555555554</v>
      </c>
      <c r="E17" s="89">
        <f>LOOKUP(2,1/(('0502 4度C'!$A:$A="新豐2線")*('0502 4度C'!$T:$T&lt;&gt;"")),'0502 4度C'!$T:$T)</f>
        <v>0.46180555555555558</v>
      </c>
      <c r="F17" s="89">
        <f>LOOKUP(2,1/(('0502 4度C'!$A:$A="新豐5線")*('0502 4度C'!$T:$T&lt;&gt;"")),'0502 4度C'!$T:$T)</f>
        <v>0.83263888888888893</v>
      </c>
      <c r="G17" s="89">
        <f>LOOKUP(2,1/(('0502 4度C'!$A:$A="新豐7線")*('0502 4度C'!$T:$T&lt;&gt;"")),'0502 4度C'!$T:$T)</f>
        <v>0.80208333333333326</v>
      </c>
      <c r="H17" s="89">
        <f>LOOKUP(2,1/(('0502 4度C'!$A:$A="新豐3線")*('0502 4度C'!$T:$T&lt;&gt;"")),'0502 4度C'!$T:$T)</f>
        <v>0.3923611111111111</v>
      </c>
      <c r="I17" s="89">
        <f>LOOKUP(2,1/(('0502 4度C'!$A:$A="新豐1線")*('0502 4度C'!$T:$T&lt;&gt;"")),'0502 4度C'!$T:$T)</f>
        <v>0.80694444444444446</v>
      </c>
      <c r="J17" s="90">
        <f>LOOKUP(2,1/(('0502 4度C'!$A:$A="新豐10線")*('0502 4度C'!$T:$T&lt;&gt;"")),'0502 4度C'!$T:$T)</f>
        <v>0.39791666666666664</v>
      </c>
      <c r="K17" s="88">
        <f>LOOKUP(2,1/(('0502 4度C'!$A:$A="新豐8線")*('0502 4度C'!$T:$T&lt;&gt;"")),'0502 4度C'!$T:$T)</f>
        <v>0.61458333333333326</v>
      </c>
      <c r="L17" s="89">
        <f>LOOKUP(2,1/(('0502 4度C'!$A:$A="新豐9線")*('0502 4度C'!$T:$T&lt;&gt;"")),'0502 4度C'!$T:$T)</f>
        <v>0.69861111111111107</v>
      </c>
      <c r="M17" s="90">
        <f>LOOKUP(2,1/(('0502 4度C'!$A:$A="新豐4線")*('0502 4度C'!$T:$T&lt;&gt;"")),'0502 4度C'!$T:$T)</f>
        <v>0.59652777777777766</v>
      </c>
    </row>
    <row r="18" spans="2:13" ht="17.25" customHeight="1">
      <c r="B18" s="505" t="s">
        <v>218</v>
      </c>
      <c r="C18" s="94" t="s">
        <v>219</v>
      </c>
      <c r="D18" s="95">
        <f>SUMIFS('0502 4度C'!$Y:$Y,'0502 4度C'!$A:$A,"新豐6線",'0502 4度C'!$B:$B,"平均")</f>
        <v>0</v>
      </c>
      <c r="E18" s="96">
        <f>SUMIFS('0502 4度C'!$Y:$Y,'0502 4度C'!$A:$A,"新豐2線",'0502 4度C'!$B:$B,"平均")</f>
        <v>0</v>
      </c>
      <c r="F18" s="96">
        <f>SUMIFS('0502 4度C'!$Y:$Y,'0502 4度C'!$A:$A,"新豐5線",'0502 4度C'!$B:$B,"平均")</f>
        <v>0</v>
      </c>
      <c r="G18" s="96">
        <f>SUMIFS('0502 4度C'!$Y:$Y,'0502 4度C'!$A:$A,"新豐7線",'0502 4度C'!$B:$B,"平均")</f>
        <v>0</v>
      </c>
      <c r="H18" s="96">
        <f>SUMIFS('0502 4度C'!$Y:$Y,'0502 4度C'!$A:$A,"新豐3線",'0502 4度C'!$B:$B,"平均")</f>
        <v>0</v>
      </c>
      <c r="I18" s="96">
        <f>SUMIFS('0502 4度C'!$Y:$Y,'0502 4度C'!$A:$A,"新豐1線",'0502 4度C'!$B:$B,"平均")</f>
        <v>0</v>
      </c>
      <c r="J18" s="97">
        <f>SUMIFS('0502 4度C'!$Y:$Y,'0502 4度C'!$A:$A,"新豐10線",'0502 4度C'!$B:$B,"平均")</f>
        <v>0</v>
      </c>
      <c r="K18" s="98">
        <f>SUMIFS('0502 4度C'!$Y:$Y,'0502 4度C'!$A:$A,"新豐8線",'0502 4度C'!$B:$B,"平均")</f>
        <v>0</v>
      </c>
      <c r="L18" s="96">
        <f>SUMIFS('0502 4度C'!$Y:$Y,'0502 4度C'!$A:$A,"新豐9線",'0502 4度C'!$B:$B,"平均")</f>
        <v>0</v>
      </c>
      <c r="M18" s="97">
        <f>SUMIFS('0502 4度C'!$Y:$Y,'0502 4度C'!$A:$A,"新豐4線",'0502 4度C'!$B:$B,"平均")</f>
        <v>0</v>
      </c>
    </row>
    <row r="19" spans="2:13" ht="17.25" customHeight="1">
      <c r="B19" s="506"/>
      <c r="C19" s="94" t="s">
        <v>220</v>
      </c>
      <c r="D19" s="95">
        <f>SUMIFS('0502 4度C'!$Z:$Z,'0502 4度C'!$A:$A,"新豐6線",'0502 4度C'!$B:$B,"平均")</f>
        <v>0</v>
      </c>
      <c r="E19" s="96">
        <f>SUMIFS('0502 4度C'!$Z:$Z,'0502 4度C'!$A:$A,"新豐2線",'0502 4度C'!$B:$B,"平均")</f>
        <v>0</v>
      </c>
      <c r="F19" s="96">
        <f>SUMIFS('0502 4度C'!$Z:$Z,'0502 4度C'!$A:$A,"新豐5線",'0502 4度C'!$B:$B,"平均")</f>
        <v>0</v>
      </c>
      <c r="G19" s="96">
        <f>SUMIFS('0502 4度C'!$Z:$Z,'0502 4度C'!$A:$A,"新豐7線",'0502 4度C'!$B:$B,"平均")</f>
        <v>0</v>
      </c>
      <c r="H19" s="96">
        <f>SUMIFS('0502 4度C'!$Z:$Z,'0502 4度C'!$A:$A,"新豐3線",'0502 4度C'!$B:$B,"平均")</f>
        <v>0</v>
      </c>
      <c r="I19" s="96">
        <f>SUMIFS('0502 4度C'!$Z:$Z,'0502 4度C'!$A:$A,"新豐1線",'0502 4度C'!$B:$B,"平均")</f>
        <v>0</v>
      </c>
      <c r="J19" s="97">
        <f>SUMIFS('0502 4度C'!$Z:$Z,'0502 4度C'!$A:$A,"新豐10線",'0502 4度C'!$B:$B,"平均")</f>
        <v>0</v>
      </c>
      <c r="K19" s="98">
        <f>SUMIFS('0502 4度C'!$Z:$Z,'0502 4度C'!$A:$A,"新豐8線",'0502 4度C'!$B:$B,"平均")</f>
        <v>0</v>
      </c>
      <c r="L19" s="96">
        <f>SUMIFS('0502 4度C'!$Z:$Z,'0502 4度C'!$A:$A,"新豐9線",'0502 4度C'!$B:$B,"平均")</f>
        <v>0</v>
      </c>
      <c r="M19" s="97">
        <f>SUMIFS('0502 4度C'!$Z:$Z,'0502 4度C'!$A:$A,"新豐4線",'0502 4度C'!$B:$B,"平均")</f>
        <v>0</v>
      </c>
    </row>
    <row r="20" spans="2:13" ht="17.25" customHeight="1">
      <c r="B20" s="505" t="s">
        <v>221</v>
      </c>
      <c r="C20" s="94" t="s">
        <v>219</v>
      </c>
      <c r="D20" s="95">
        <f>SUMIFS('0502 4度C'!$AC:$AC,'0502 4度C'!$A:$A,"新豐6線",'0502 4度C'!$B:$B,"平均")</f>
        <v>4</v>
      </c>
      <c r="E20" s="96">
        <f>SUMIFS('0502 4度C'!$AC:$AC,'0502 4度C'!$A:$A,"新豐2線",'0502 4度C'!$B:$B,"平均")</f>
        <v>2</v>
      </c>
      <c r="F20" s="96">
        <f>SUMIFS('0502 4度C'!$AC:$AC,'0502 4度C'!$A:$A,"新豐5線",'0502 4度C'!$B:$B,"平均")</f>
        <v>5</v>
      </c>
      <c r="G20" s="96">
        <f>SUMIFS('0502 4度C'!$AC:$AC,'0502 4度C'!$A:$A,"新豐7線",'0502 4度C'!$B:$B,"平均")</f>
        <v>6</v>
      </c>
      <c r="H20" s="96">
        <f>SUMIFS('0502 4度C'!$AC:$AC,'0502 4度C'!$A:$A,"新豐3線",'0502 4度C'!$B:$B,"平均")</f>
        <v>4</v>
      </c>
      <c r="I20" s="96">
        <f>SUMIFS('0502 4度C'!$AC:$AC,'0502 4度C'!$A:$A,"新豐1線",'0502 4度C'!$B:$B,"平均")</f>
        <v>6</v>
      </c>
      <c r="J20" s="97">
        <f>SUMIFS('0502 4度C'!$AC:$AC,'0502 4度C'!$A:$A,"新豐10線",'0502 4度C'!$B:$B,"平均")</f>
        <v>6</v>
      </c>
      <c r="K20" s="98">
        <f>SUMIFS('0502 4度C'!$AC:$AC,'0502 4度C'!$A:$A,"新豐8線",'0502 4度C'!$B:$B,"平均")</f>
        <v>5</v>
      </c>
      <c r="L20" s="96">
        <f>SUMIFS('0502 4度C'!$AC:$AC,'0502 4度C'!$A:$A,"新豐9線",'0502 4度C'!$B:$B,"平均")</f>
        <v>6</v>
      </c>
      <c r="M20" s="97">
        <f>SUMIFS('0502 4度C'!$AC:$AC,'0502 4度C'!$A:$A,"新豐4線",'0502 4度C'!$B:$B,"平均")</f>
        <v>6</v>
      </c>
    </row>
    <row r="21" spans="2:13" ht="17.25" customHeight="1">
      <c r="B21" s="506"/>
      <c r="C21" s="94" t="s">
        <v>222</v>
      </c>
      <c r="D21" s="95">
        <f>SUMIFS('0502 4度C'!$AD:$AD,'0502 4度C'!$A:$A,"新豐6線",'0502 4度C'!$B:$B,"平均")</f>
        <v>0</v>
      </c>
      <c r="E21" s="96">
        <f>SUMIFS('0502 4度C'!$AD:$AD,'0502 4度C'!$A:$A,"新豐2線",'0502 4度C'!$B:$B,"平均")</f>
        <v>0</v>
      </c>
      <c r="F21" s="96">
        <f>SUMIFS('0502 4度C'!$AD:$AD,'0502 4度C'!$A:$A,"新豐5線",'0502 4度C'!$B:$B,"平均")</f>
        <v>0</v>
      </c>
      <c r="G21" s="96">
        <f>SUMIFS('0502 4度C'!$AD:$AD,'0502 4度C'!$A:$A,"新豐7線",'0502 4度C'!$B:$B,"平均")</f>
        <v>0</v>
      </c>
      <c r="H21" s="96">
        <f>SUMIFS('0502 4度C'!$AD:$AD,'0502 4度C'!$A:$A,"新豐3線",'0502 4度C'!$B:$B,"平均")</f>
        <v>0</v>
      </c>
      <c r="I21" s="96">
        <f>SUMIFS('0502 4度C'!$AD:$AD,'0502 4度C'!$A:$A,"新豐1線",'0502 4度C'!$B:$B,"平均")</f>
        <v>0</v>
      </c>
      <c r="J21" s="97">
        <f>SUMIFS('0502 4度C'!$AD:$AD,'0502 4度C'!$A:$A,"新豐10線",'0502 4度C'!$B:$B,"平均")</f>
        <v>0</v>
      </c>
      <c r="K21" s="98">
        <f>SUMIFS('0502 4度C'!$AD:$AD,'0502 4度C'!$A:$A,"新豐8線",'0502 4度C'!$B:$B,"平均")</f>
        <v>0</v>
      </c>
      <c r="L21" s="96">
        <f>SUMIFS('0502 4度C'!$AD:$AD,'0502 4度C'!$A:$A,"新豐9線",'0502 4度C'!$B:$B,"平均")</f>
        <v>0</v>
      </c>
      <c r="M21" s="97">
        <f>SUMIFS('0502 4度C'!$AD:$AD,'0502 4度C'!$A:$A,"新豐4線",'0502 4度C'!$B:$B,"平均")</f>
        <v>0</v>
      </c>
    </row>
    <row r="22" spans="2:13" ht="17.25" customHeight="1">
      <c r="B22" s="507" t="s">
        <v>223</v>
      </c>
      <c r="C22" s="508"/>
      <c r="D22" s="99">
        <f>SUMIFS('0502 4度C'!$I:$I,'0502 4度C'!$A:$A,"新豐6線",'0502 4度C'!$B:$B,"平均")</f>
        <v>16.75</v>
      </c>
      <c r="E22" s="100">
        <f>SUMIFS('0502 4度C'!$I:$I,'0502 4度C'!$A:$A,"新豐2線",'0502 4度C'!$B:$B,"平均")</f>
        <v>18</v>
      </c>
      <c r="F22" s="100">
        <f>SUMIFS('0502 4度C'!$I:$I,'0502 4度C'!$A:$A,"新豐5線",'0502 4度C'!$B:$B,"平均")</f>
        <v>17.399999999999999</v>
      </c>
      <c r="G22" s="100">
        <f>SUMIFS('0502 4度C'!$I:$I,'0502 4度C'!$A:$A,"新豐7線",'0502 4度C'!$B:$B,"平均")</f>
        <v>16.166666666666668</v>
      </c>
      <c r="H22" s="100">
        <f>SUMIFS('0502 4度C'!$I:$I,'0502 4度C'!$A:$A,"新豐3線",'0502 4度C'!$B:$B,"平均")</f>
        <v>10.75</v>
      </c>
      <c r="I22" s="100">
        <f>SUMIFS('0502 4度C'!$I:$I,'0502 4度C'!$A:$A,"新豐1線",'0502 4度C'!$B:$B,"平均")</f>
        <v>19.333333333333332</v>
      </c>
      <c r="J22" s="101">
        <f>SUMIFS('0502 4度C'!$I:$I,'0502 4度C'!$A:$A,"新豐10線",'0502 4度C'!$B:$B,"平均")</f>
        <v>9.5</v>
      </c>
      <c r="K22" s="99">
        <f>SUMIFS('0502 4度C'!$I:$I,'0502 4度C'!$A:$A,"新豐8線",'0502 4度C'!$B:$B,"平均")</f>
        <v>17.8</v>
      </c>
      <c r="L22" s="100">
        <f>SUMIFS('0502 4度C'!$I:$I,'0502 4度C'!$A:$A,"新豐9線",'0502 4度C'!$B:$B,"平均")</f>
        <v>17</v>
      </c>
      <c r="M22" s="101">
        <f>SUMIFS('0502 4度C'!$I:$I,'0502 4度C'!$A:$A,"新豐4線",'0502 4度C'!$B:$B,"平均")</f>
        <v>15.666666666666666</v>
      </c>
    </row>
    <row r="23" spans="2:13" ht="17.25" customHeight="1">
      <c r="B23" s="507" t="s">
        <v>224</v>
      </c>
      <c r="C23" s="508"/>
      <c r="D23" s="102" t="s">
        <v>177</v>
      </c>
      <c r="E23" s="103" t="s">
        <v>178</v>
      </c>
      <c r="F23" s="103" t="s">
        <v>225</v>
      </c>
      <c r="G23" s="103" t="s">
        <v>225</v>
      </c>
      <c r="H23" s="103" t="s">
        <v>180</v>
      </c>
      <c r="I23" s="103" t="s">
        <v>177</v>
      </c>
      <c r="J23" s="104" t="s">
        <v>180</v>
      </c>
      <c r="K23" s="102" t="s">
        <v>226</v>
      </c>
      <c r="L23" s="103" t="s">
        <v>227</v>
      </c>
      <c r="M23" s="104" t="s">
        <v>227</v>
      </c>
    </row>
    <row r="24" spans="2:13" ht="17.25" customHeight="1">
      <c r="B24" s="507" t="s">
        <v>228</v>
      </c>
      <c r="C24" s="508"/>
      <c r="D24" s="102"/>
      <c r="E24" s="103"/>
      <c r="F24" s="103" t="s">
        <v>229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230</v>
      </c>
      <c r="C25" s="510"/>
      <c r="D25" s="105"/>
      <c r="E25" s="106" t="s">
        <v>231</v>
      </c>
      <c r="F25" s="503" t="s">
        <v>232</v>
      </c>
      <c r="G25" s="504"/>
      <c r="H25" s="106" t="s">
        <v>233</v>
      </c>
      <c r="I25" s="106" t="s">
        <v>234</v>
      </c>
      <c r="J25" s="107" t="s">
        <v>235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5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3">
    <pageSetUpPr fitToPage="1"/>
  </sheetPr>
  <dimension ref="A1:AG65"/>
  <sheetViews>
    <sheetView topLeftCell="B1" zoomScale="80" zoomScaleNormal="80"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124" customWidth="1"/>
    <col min="20" max="20" width="7.625" style="124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124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236</v>
      </c>
      <c r="B1" s="1"/>
      <c r="C1" s="2" t="s">
        <v>237</v>
      </c>
      <c r="D1" s="3">
        <f>SUM(F5:F64)</f>
        <v>150644</v>
      </c>
      <c r="E1" s="15" t="s">
        <v>238</v>
      </c>
      <c r="F1" s="1">
        <f>SUM(G5:G64)</f>
        <v>5181744.8900000015</v>
      </c>
      <c r="G1" s="1" t="s">
        <v>239</v>
      </c>
      <c r="H1" s="5">
        <f>L9+L12+L43+L50+L18+L57+L31+L38+L25+L64</f>
        <v>158.36666666666665</v>
      </c>
      <c r="I1" s="617" t="s">
        <v>240</v>
      </c>
      <c r="J1" s="617"/>
      <c r="K1" s="617"/>
      <c r="L1" s="617" t="s">
        <v>241</v>
      </c>
      <c r="M1" s="617"/>
      <c r="N1" s="617"/>
      <c r="O1" s="617" t="s">
        <v>242</v>
      </c>
      <c r="P1" s="617"/>
      <c r="Q1" s="617"/>
      <c r="R1" s="617"/>
      <c r="S1" s="617" t="s">
        <v>243</v>
      </c>
      <c r="T1" s="617"/>
      <c r="U1" s="617"/>
      <c r="V1" s="617"/>
      <c r="W1" s="617"/>
      <c r="X1" s="617"/>
      <c r="Y1" s="6" t="s">
        <v>244</v>
      </c>
      <c r="Z1" s="7" t="s">
        <v>245</v>
      </c>
      <c r="AA1" s="618" t="s">
        <v>246</v>
      </c>
      <c r="AB1" s="618"/>
      <c r="AC1" s="121" t="s">
        <v>244</v>
      </c>
      <c r="AD1" s="7" t="s">
        <v>247</v>
      </c>
      <c r="AE1" s="617" t="s">
        <v>248</v>
      </c>
      <c r="AF1" s="619"/>
      <c r="AG1" s="619"/>
    </row>
    <row r="2" spans="1:33" ht="26.25" customHeight="1">
      <c r="A2" s="37">
        <v>46144</v>
      </c>
      <c r="B2" s="38" t="s">
        <v>249</v>
      </c>
      <c r="C2" s="2" t="s">
        <v>212</v>
      </c>
      <c r="D2" s="10">
        <f>AVERAGE(N9,N12,N43,N50,N18,N57,N25,N31,N38,N64)</f>
        <v>145.05357257806295</v>
      </c>
      <c r="E2" s="11" t="s">
        <v>14</v>
      </c>
      <c r="F2" s="12">
        <f>F1/D1</f>
        <v>34.397286914845608</v>
      </c>
      <c r="G2" s="1" t="s">
        <v>250</v>
      </c>
      <c r="H2" s="13">
        <f>COUNT(H5:H64)</f>
        <v>3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SUM(Y9+Y12+Y18+Y25+Y31+Y38+Y43+Y50+Y57+Y64)</f>
        <v>0</v>
      </c>
      <c r="Z2" s="14">
        <f>SUM(Z9+Z12+Z18+Z25+Z31+Z38+Z43+Z50+Z57+Z64)</f>
        <v>0</v>
      </c>
      <c r="AA2" s="618"/>
      <c r="AB2" s="618"/>
      <c r="AC2" s="122">
        <v>50</v>
      </c>
      <c r="AD2" s="14">
        <f>SUM(AD9+AD12+AD18+AD25+AD31+AD38+AD43+AD50+AD57+AD64)</f>
        <v>0</v>
      </c>
      <c r="AE2" s="619"/>
      <c r="AF2" s="619"/>
      <c r="AG2" s="619"/>
    </row>
    <row r="3" spans="1:33" ht="40.5" customHeight="1">
      <c r="A3" s="575" t="s">
        <v>251</v>
      </c>
      <c r="B3" s="575" t="s">
        <v>252</v>
      </c>
      <c r="C3" s="575" t="s">
        <v>253</v>
      </c>
      <c r="D3" s="575"/>
      <c r="E3" s="615" t="s">
        <v>254</v>
      </c>
      <c r="F3" s="575" t="s">
        <v>255</v>
      </c>
      <c r="G3" s="615" t="s">
        <v>256</v>
      </c>
      <c r="H3" s="608" t="s">
        <v>257</v>
      </c>
      <c r="I3" s="606" t="s">
        <v>258</v>
      </c>
      <c r="J3" s="603" t="s">
        <v>259</v>
      </c>
      <c r="K3" s="613" t="s">
        <v>212</v>
      </c>
      <c r="L3" s="606" t="s">
        <v>258</v>
      </c>
      <c r="M3" s="603" t="s">
        <v>259</v>
      </c>
      <c r="N3" s="613" t="s">
        <v>212</v>
      </c>
      <c r="O3" s="606" t="s">
        <v>258</v>
      </c>
      <c r="P3" s="613" t="s">
        <v>212</v>
      </c>
      <c r="Q3" s="604" t="s">
        <v>260</v>
      </c>
      <c r="R3" s="582" t="s">
        <v>261</v>
      </c>
      <c r="S3" s="614" t="s">
        <v>28</v>
      </c>
      <c r="T3" s="614"/>
      <c r="U3" s="608" t="s">
        <v>29</v>
      </c>
      <c r="V3" s="608" t="s">
        <v>262</v>
      </c>
      <c r="W3" s="575" t="s">
        <v>263</v>
      </c>
      <c r="X3" s="575"/>
      <c r="Y3" s="609" t="s">
        <v>264</v>
      </c>
      <c r="Z3" s="572"/>
      <c r="AA3" s="610" t="s">
        <v>265</v>
      </c>
      <c r="AB3" s="611"/>
      <c r="AC3" s="609" t="s">
        <v>266</v>
      </c>
      <c r="AD3" s="572"/>
      <c r="AE3" s="603" t="s">
        <v>267</v>
      </c>
      <c r="AF3" s="604" t="s">
        <v>268</v>
      </c>
      <c r="AG3" s="582" t="s">
        <v>269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40" t="s">
        <v>36</v>
      </c>
      <c r="T4" s="40" t="s">
        <v>37</v>
      </c>
      <c r="U4" s="608"/>
      <c r="V4" s="608"/>
      <c r="W4" s="15" t="s">
        <v>270</v>
      </c>
      <c r="X4" s="15" t="s">
        <v>271</v>
      </c>
      <c r="Y4" s="16" t="s">
        <v>272</v>
      </c>
      <c r="Z4" s="16" t="s">
        <v>273</v>
      </c>
      <c r="AA4" s="612"/>
      <c r="AB4" s="611"/>
      <c r="AC4" s="16" t="s">
        <v>274</v>
      </c>
      <c r="AD4" s="16" t="s">
        <v>275</v>
      </c>
      <c r="AE4" s="603"/>
      <c r="AF4" s="604"/>
      <c r="AG4" s="582"/>
    </row>
    <row r="5" spans="1:33">
      <c r="A5" s="605" t="s">
        <v>276</v>
      </c>
      <c r="B5" s="39" t="s">
        <v>74</v>
      </c>
      <c r="C5" s="607" t="s">
        <v>75</v>
      </c>
      <c r="D5" s="607"/>
      <c r="E5" s="39">
        <v>50.67</v>
      </c>
      <c r="F5" s="40">
        <v>1357</v>
      </c>
      <c r="G5" s="15">
        <f t="shared" ref="G5:G8" si="0">E5*F5</f>
        <v>68759.19</v>
      </c>
      <c r="H5" s="48" t="s">
        <v>126</v>
      </c>
      <c r="I5" s="17">
        <v>17</v>
      </c>
      <c r="J5" s="43">
        <v>2000</v>
      </c>
      <c r="K5" s="18">
        <f t="shared" ref="K5:K64" si="1">J5/I5</f>
        <v>117.64705882352941</v>
      </c>
      <c r="L5" s="17">
        <v>17</v>
      </c>
      <c r="M5" s="19">
        <f t="shared" ref="M5:M8" si="2">F5/V5*60</f>
        <v>1938.5714285714278</v>
      </c>
      <c r="N5" s="18">
        <f t="shared" ref="N5:N64" si="3">M5/L5</f>
        <v>114.03361344537811</v>
      </c>
      <c r="O5" s="20">
        <f t="shared" ref="O5:O64" si="4">L5-I5</f>
        <v>0</v>
      </c>
      <c r="P5" s="21">
        <f t="shared" ref="P5:P64" si="5">N5-K5</f>
        <v>-3.6134453781512974</v>
      </c>
      <c r="Q5" s="23">
        <f t="shared" ref="Q5:Q64" si="6">N5/K5</f>
        <v>0.96928571428571397</v>
      </c>
      <c r="R5" s="573">
        <f>Q9</f>
        <v>0.96222170754816283</v>
      </c>
      <c r="S5" s="49">
        <v>0.70833333333333337</v>
      </c>
      <c r="T5" s="49">
        <v>0.73750000000000004</v>
      </c>
      <c r="U5" s="15"/>
      <c r="V5" s="24">
        <f t="shared" ref="V5:V8" si="7">(T5-S5)*24*60</f>
        <v>42.000000000000014</v>
      </c>
      <c r="W5" s="25"/>
      <c r="X5" s="26"/>
      <c r="Y5" s="26"/>
      <c r="Z5" s="26"/>
      <c r="AA5" s="575"/>
      <c r="AB5" s="575"/>
      <c r="AC5" s="50">
        <v>4</v>
      </c>
      <c r="AD5" s="27"/>
      <c r="AE5" s="20">
        <f t="shared" ref="AE5:AE49" si="8">M5-J5</f>
        <v>-61.428571428572241</v>
      </c>
      <c r="AF5" s="23">
        <f t="shared" ref="AF5:AF64" si="9">M5/J5</f>
        <v>0.96928571428571386</v>
      </c>
      <c r="AG5" s="573">
        <f>AF9</f>
        <v>0.96222170754816283</v>
      </c>
    </row>
    <row r="6" spans="1:33">
      <c r="A6" s="606" t="s">
        <v>277</v>
      </c>
      <c r="B6" s="39" t="s">
        <v>74</v>
      </c>
      <c r="C6" s="607" t="s">
        <v>76</v>
      </c>
      <c r="D6" s="607"/>
      <c r="E6" s="39">
        <v>54.09</v>
      </c>
      <c r="F6" s="40">
        <v>1118</v>
      </c>
      <c r="G6" s="15">
        <f t="shared" si="0"/>
        <v>60472.62</v>
      </c>
      <c r="H6" s="48" t="s">
        <v>126</v>
      </c>
      <c r="I6" s="17">
        <v>19</v>
      </c>
      <c r="J6" s="43">
        <v>2000</v>
      </c>
      <c r="K6" s="18">
        <f t="shared" si="1"/>
        <v>105.26315789473684</v>
      </c>
      <c r="L6" s="17">
        <v>19</v>
      </c>
      <c r="M6" s="19">
        <f t="shared" si="2"/>
        <v>1916.5714285714266</v>
      </c>
      <c r="N6" s="18">
        <f t="shared" si="3"/>
        <v>100.87218045112772</v>
      </c>
      <c r="O6" s="20">
        <f t="shared" si="4"/>
        <v>0</v>
      </c>
      <c r="P6" s="21">
        <f t="shared" si="5"/>
        <v>-4.3909774436091169</v>
      </c>
      <c r="Q6" s="23">
        <f t="shared" si="6"/>
        <v>0.95828571428571341</v>
      </c>
      <c r="R6" s="573"/>
      <c r="S6" s="49">
        <v>0.74236111111111114</v>
      </c>
      <c r="T6" s="49">
        <v>0.76666666666666672</v>
      </c>
      <c r="U6" s="15">
        <f t="shared" ref="U6:U8" si="10">IF(S6=TIME(17,0,0),"",(S6-T5)*24*60)</f>
        <v>6.9999999999999751</v>
      </c>
      <c r="V6" s="24">
        <f t="shared" si="7"/>
        <v>35.000000000000036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-83.428571428573377</v>
      </c>
      <c r="AF6" s="23">
        <f t="shared" si="9"/>
        <v>0.9582857142857133</v>
      </c>
      <c r="AG6" s="573"/>
    </row>
    <row r="7" spans="1:33">
      <c r="A7" s="606" t="s">
        <v>277</v>
      </c>
      <c r="B7" s="39" t="s">
        <v>74</v>
      </c>
      <c r="C7" s="598" t="s">
        <v>77</v>
      </c>
      <c r="D7" s="599"/>
      <c r="E7" s="39">
        <v>50.67</v>
      </c>
      <c r="F7" s="40">
        <v>1467</v>
      </c>
      <c r="G7" s="15">
        <f t="shared" si="0"/>
        <v>74332.89</v>
      </c>
      <c r="H7" s="48" t="s">
        <v>126</v>
      </c>
      <c r="I7" s="17">
        <v>15</v>
      </c>
      <c r="J7" s="43">
        <v>2000</v>
      </c>
      <c r="K7" s="18">
        <f t="shared" si="1"/>
        <v>133.33333333333334</v>
      </c>
      <c r="L7" s="17">
        <v>15</v>
      </c>
      <c r="M7" s="19">
        <f t="shared" si="2"/>
        <v>1913.4782608695652</v>
      </c>
      <c r="N7" s="18">
        <f t="shared" si="3"/>
        <v>127.56521739130434</v>
      </c>
      <c r="O7" s="20">
        <f t="shared" si="4"/>
        <v>0</v>
      </c>
      <c r="P7" s="21">
        <f t="shared" si="5"/>
        <v>-5.7681159420289987</v>
      </c>
      <c r="Q7" s="23">
        <f t="shared" si="6"/>
        <v>0.95673913043478254</v>
      </c>
      <c r="R7" s="573"/>
      <c r="S7" s="49">
        <v>0.77152777777777781</v>
      </c>
      <c r="T7" s="49">
        <v>0.80347222222222225</v>
      </c>
      <c r="U7" s="15">
        <f t="shared" si="10"/>
        <v>6.9999999999999751</v>
      </c>
      <c r="V7" s="24">
        <f t="shared" si="7"/>
        <v>46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-86.521739130434753</v>
      </c>
      <c r="AF7" s="23">
        <f t="shared" si="9"/>
        <v>0.95673913043478265</v>
      </c>
      <c r="AG7" s="573"/>
    </row>
    <row r="8" spans="1:33">
      <c r="A8" s="606" t="s">
        <v>277</v>
      </c>
      <c r="B8" s="39" t="s">
        <v>74</v>
      </c>
      <c r="C8" s="598" t="s">
        <v>78</v>
      </c>
      <c r="D8" s="599"/>
      <c r="E8" s="39">
        <v>52.86</v>
      </c>
      <c r="F8" s="40">
        <v>1897</v>
      </c>
      <c r="G8" s="15">
        <f t="shared" si="0"/>
        <v>100275.42</v>
      </c>
      <c r="H8" s="48" t="s">
        <v>126</v>
      </c>
      <c r="I8" s="17">
        <v>16</v>
      </c>
      <c r="J8" s="43">
        <v>2000</v>
      </c>
      <c r="K8" s="18">
        <f t="shared" si="1"/>
        <v>125</v>
      </c>
      <c r="L8" s="17">
        <v>16</v>
      </c>
      <c r="M8" s="19">
        <f t="shared" si="2"/>
        <v>1929.1525423728831</v>
      </c>
      <c r="N8" s="18">
        <f t="shared" si="3"/>
        <v>120.57203389830519</v>
      </c>
      <c r="O8" s="20">
        <f t="shared" si="4"/>
        <v>0</v>
      </c>
      <c r="P8" s="21">
        <f t="shared" si="5"/>
        <v>-4.4279661016948069</v>
      </c>
      <c r="Q8" s="23">
        <f t="shared" si="6"/>
        <v>0.96457627118644151</v>
      </c>
      <c r="R8" s="573"/>
      <c r="S8" s="49">
        <v>0.80833333333333335</v>
      </c>
      <c r="T8" s="49">
        <v>0.84930555555555554</v>
      </c>
      <c r="U8" s="15">
        <f t="shared" si="10"/>
        <v>6.9999999999999751</v>
      </c>
      <c r="V8" s="24">
        <f t="shared" si="7"/>
        <v>58.99999999999995</v>
      </c>
      <c r="W8" s="30"/>
      <c r="X8" s="30"/>
      <c r="Y8" s="31"/>
      <c r="Z8" s="31"/>
      <c r="AA8" s="568"/>
      <c r="AB8" s="569"/>
      <c r="AC8" s="50"/>
      <c r="AD8" s="29"/>
      <c r="AE8" s="20">
        <f t="shared" si="8"/>
        <v>-70.84745762711691</v>
      </c>
      <c r="AF8" s="23">
        <f t="shared" si="9"/>
        <v>0.96457627118644151</v>
      </c>
      <c r="AG8" s="573"/>
    </row>
    <row r="9" spans="1:33">
      <c r="A9" s="606" t="s">
        <v>277</v>
      </c>
      <c r="B9" s="39" t="s">
        <v>278</v>
      </c>
      <c r="C9" s="576"/>
      <c r="D9" s="576"/>
      <c r="E9" s="41"/>
      <c r="F9" s="42"/>
      <c r="G9" s="18"/>
      <c r="H9" s="40"/>
      <c r="I9" s="32">
        <v>16.75</v>
      </c>
      <c r="J9" s="43">
        <v>2000</v>
      </c>
      <c r="K9" s="18">
        <f t="shared" si="1"/>
        <v>119.40298507462687</v>
      </c>
      <c r="L9" s="32">
        <v>16.75</v>
      </c>
      <c r="M9" s="19">
        <f>AVERAGE(M5:M8)</f>
        <v>1924.4434150963257</v>
      </c>
      <c r="N9" s="18">
        <f t="shared" si="3"/>
        <v>114.89214418485527</v>
      </c>
      <c r="O9" s="20">
        <f t="shared" si="4"/>
        <v>0</v>
      </c>
      <c r="P9" s="21">
        <f t="shared" si="5"/>
        <v>-4.5108408897716004</v>
      </c>
      <c r="Q9" s="23">
        <f t="shared" si="6"/>
        <v>0.96222170754816283</v>
      </c>
      <c r="R9" s="573"/>
      <c r="S9" s="49"/>
      <c r="T9" s="49"/>
      <c r="U9" s="15"/>
      <c r="V9" s="24"/>
      <c r="W9" s="18"/>
      <c r="X9" s="18"/>
      <c r="Y9" s="33">
        <f>SUM(Y5:Y8)</f>
        <v>0</v>
      </c>
      <c r="Z9" s="33">
        <f>SUM(Z5:Z8)</f>
        <v>0</v>
      </c>
      <c r="AA9" s="572"/>
      <c r="AB9" s="572"/>
      <c r="AC9" s="33">
        <v>4</v>
      </c>
      <c r="AD9" s="33">
        <f>SUM(AD5:AD8)</f>
        <v>0</v>
      </c>
      <c r="AE9" s="20">
        <f t="shared" si="8"/>
        <v>-75.55658490367432</v>
      </c>
      <c r="AF9" s="23">
        <f t="shared" si="9"/>
        <v>0.96222170754816283</v>
      </c>
      <c r="AG9" s="573"/>
    </row>
    <row r="10" spans="1:33" ht="15.75" customHeight="1">
      <c r="A10" s="602" t="s">
        <v>279</v>
      </c>
      <c r="B10" s="39" t="s">
        <v>79</v>
      </c>
      <c r="C10" s="598" t="s">
        <v>80</v>
      </c>
      <c r="D10" s="599"/>
      <c r="E10" s="39">
        <v>39.619999999999997</v>
      </c>
      <c r="F10" s="40">
        <v>3592</v>
      </c>
      <c r="G10" s="15">
        <f t="shared" ref="G10:G11" si="11">E10*F10</f>
        <v>142315.03999999998</v>
      </c>
      <c r="H10" s="48" t="s">
        <v>126</v>
      </c>
      <c r="I10" s="17">
        <v>19</v>
      </c>
      <c r="J10" s="43">
        <v>1500</v>
      </c>
      <c r="K10" s="18">
        <f t="shared" si="1"/>
        <v>78.94736842105263</v>
      </c>
      <c r="L10" s="17">
        <v>19</v>
      </c>
      <c r="M10" s="19">
        <f t="shared" ref="M10:M11" si="12">F10/V10*60</f>
        <v>1436.8</v>
      </c>
      <c r="N10" s="18">
        <f t="shared" si="3"/>
        <v>75.621052631578948</v>
      </c>
      <c r="O10" s="20">
        <f t="shared" si="4"/>
        <v>0</v>
      </c>
      <c r="P10" s="21">
        <f t="shared" si="5"/>
        <v>-3.3263157894736821</v>
      </c>
      <c r="Q10" s="23">
        <f t="shared" si="6"/>
        <v>0.95786666666666664</v>
      </c>
      <c r="R10" s="573">
        <f>Q12</f>
        <v>0.95587113237639532</v>
      </c>
      <c r="S10" s="49">
        <v>0.20833333333333334</v>
      </c>
      <c r="T10" s="49">
        <v>0.3125</v>
      </c>
      <c r="U10" s="15"/>
      <c r="V10" s="24">
        <f t="shared" ref="V10:V11" si="13">(T10-S10)*24*60</f>
        <v>150</v>
      </c>
      <c r="W10" s="25"/>
      <c r="X10" s="25"/>
      <c r="Y10" s="25"/>
      <c r="Z10" s="25"/>
      <c r="AA10" s="575"/>
      <c r="AB10" s="575"/>
      <c r="AC10" s="50">
        <v>2</v>
      </c>
      <c r="AD10" s="27"/>
      <c r="AE10" s="20">
        <f t="shared" si="8"/>
        <v>-63.200000000000045</v>
      </c>
      <c r="AF10" s="23">
        <f t="shared" si="9"/>
        <v>0.95786666666666664</v>
      </c>
      <c r="AG10" s="573">
        <f>AF12</f>
        <v>0.95587113237639532</v>
      </c>
    </row>
    <row r="11" spans="1:33" ht="15.75" customHeight="1">
      <c r="A11" s="602" t="s">
        <v>280</v>
      </c>
      <c r="B11" s="39" t="s">
        <v>79</v>
      </c>
      <c r="C11" s="598" t="s">
        <v>81</v>
      </c>
      <c r="D11" s="599"/>
      <c r="E11" s="39">
        <v>39.799999999999997</v>
      </c>
      <c r="F11" s="40">
        <v>4984</v>
      </c>
      <c r="G11" s="15">
        <f t="shared" si="11"/>
        <v>198363.19999999998</v>
      </c>
      <c r="H11" s="48" t="s">
        <v>126</v>
      </c>
      <c r="I11" s="17">
        <v>17</v>
      </c>
      <c r="J11" s="43">
        <v>1500</v>
      </c>
      <c r="K11" s="18">
        <f t="shared" si="1"/>
        <v>88.235294117647058</v>
      </c>
      <c r="L11" s="17">
        <v>17</v>
      </c>
      <c r="M11" s="19">
        <f t="shared" si="12"/>
        <v>1430.8133971291861</v>
      </c>
      <c r="N11" s="18">
        <f t="shared" si="3"/>
        <v>84.165493948775648</v>
      </c>
      <c r="O11" s="20">
        <f t="shared" si="4"/>
        <v>0</v>
      </c>
      <c r="P11" s="21">
        <f t="shared" si="5"/>
        <v>-4.0698001688714101</v>
      </c>
      <c r="Q11" s="23">
        <f t="shared" si="6"/>
        <v>0.95387559808612399</v>
      </c>
      <c r="R11" s="573"/>
      <c r="S11" s="49">
        <v>0.31666666666666665</v>
      </c>
      <c r="T11" s="49">
        <v>0.46180555555555558</v>
      </c>
      <c r="U11" s="15">
        <f t="shared" ref="U11" si="14">IF(S11=TIME(17,0,0),"",(S11-T10)*24*60)</f>
        <v>5.9999999999999787</v>
      </c>
      <c r="V11" s="24">
        <f t="shared" si="13"/>
        <v>209.00000000000006</v>
      </c>
      <c r="W11" s="25"/>
      <c r="X11" s="25"/>
      <c r="Y11" s="25"/>
      <c r="Z11" s="25"/>
      <c r="AA11" s="575"/>
      <c r="AB11" s="575"/>
      <c r="AC11" s="50"/>
      <c r="AD11" s="27"/>
      <c r="AE11" s="20">
        <f t="shared" si="8"/>
        <v>-69.186602870813886</v>
      </c>
      <c r="AF11" s="23">
        <f t="shared" si="9"/>
        <v>0.9538755980861241</v>
      </c>
      <c r="AG11" s="573"/>
    </row>
    <row r="12" spans="1:33" ht="16.5" customHeight="1">
      <c r="A12" s="602" t="s">
        <v>280</v>
      </c>
      <c r="B12" s="39" t="s">
        <v>278</v>
      </c>
      <c r="C12" s="576"/>
      <c r="D12" s="576"/>
      <c r="E12" s="41"/>
      <c r="F12" s="43"/>
      <c r="G12" s="19"/>
      <c r="H12" s="40"/>
      <c r="I12" s="32">
        <v>18</v>
      </c>
      <c r="J12" s="43">
        <v>1500</v>
      </c>
      <c r="K12" s="18">
        <f t="shared" si="1"/>
        <v>83.333333333333329</v>
      </c>
      <c r="L12" s="32">
        <v>18</v>
      </c>
      <c r="M12" s="19">
        <f>AVERAGE(M10:M11)</f>
        <v>1433.806698564593</v>
      </c>
      <c r="N12" s="18">
        <f t="shared" si="3"/>
        <v>79.65592769803294</v>
      </c>
      <c r="O12" s="20">
        <f t="shared" si="4"/>
        <v>0</v>
      </c>
      <c r="P12" s="21">
        <f t="shared" si="5"/>
        <v>-3.6774056353003886</v>
      </c>
      <c r="Q12" s="23">
        <f t="shared" si="6"/>
        <v>0.95587113237639532</v>
      </c>
      <c r="R12" s="573"/>
      <c r="S12" s="49"/>
      <c r="T12" s="49"/>
      <c r="U12" s="18"/>
      <c r="V12" s="24"/>
      <c r="W12" s="18"/>
      <c r="X12" s="18"/>
      <c r="Y12" s="33">
        <f>SUM(Y10:Y11)</f>
        <v>0</v>
      </c>
      <c r="Z12" s="33">
        <f>SUM(Z10:Z11)</f>
        <v>0</v>
      </c>
      <c r="AA12" s="572"/>
      <c r="AB12" s="572"/>
      <c r="AC12" s="33">
        <v>2</v>
      </c>
      <c r="AD12" s="33">
        <f>SUM(AD10:AD11)</f>
        <v>0</v>
      </c>
      <c r="AE12" s="20">
        <f t="shared" si="8"/>
        <v>-66.193301435406966</v>
      </c>
      <c r="AF12" s="23">
        <f t="shared" si="9"/>
        <v>0.95587113237639532</v>
      </c>
      <c r="AG12" s="573"/>
    </row>
    <row r="13" spans="1:33" ht="16.5" customHeight="1">
      <c r="A13" s="600" t="s">
        <v>281</v>
      </c>
      <c r="B13" s="40" t="s">
        <v>82</v>
      </c>
      <c r="C13" s="594" t="s">
        <v>83</v>
      </c>
      <c r="D13" s="594"/>
      <c r="E13" s="39">
        <v>41</v>
      </c>
      <c r="F13" s="40">
        <v>1815</v>
      </c>
      <c r="G13" s="15">
        <f t="shared" ref="G13:G17" si="15">E13*F13</f>
        <v>74415</v>
      </c>
      <c r="H13" s="48" t="s">
        <v>126</v>
      </c>
      <c r="I13" s="17">
        <v>26</v>
      </c>
      <c r="J13" s="43">
        <v>1500</v>
      </c>
      <c r="K13" s="18">
        <f t="shared" si="1"/>
        <v>57.692307692307693</v>
      </c>
      <c r="L13" s="17">
        <v>26</v>
      </c>
      <c r="M13" s="19">
        <f t="shared" ref="M13:M17" si="16">F13/V13*60</f>
        <v>1432.894736842105</v>
      </c>
      <c r="N13" s="18">
        <f t="shared" si="3"/>
        <v>55.11133603238865</v>
      </c>
      <c r="O13" s="20">
        <f t="shared" si="4"/>
        <v>0</v>
      </c>
      <c r="P13" s="21">
        <f t="shared" si="5"/>
        <v>-2.5809716599190438</v>
      </c>
      <c r="Q13" s="23">
        <f t="shared" si="6"/>
        <v>0.95526315789473659</v>
      </c>
      <c r="R13" s="573">
        <f>Q18</f>
        <v>0.95505969687167835</v>
      </c>
      <c r="S13" s="49">
        <v>0.20833333333333334</v>
      </c>
      <c r="T13" s="49">
        <v>0.26111111111111113</v>
      </c>
      <c r="U13" s="15"/>
      <c r="V13" s="24">
        <f t="shared" ref="V13:V17" si="17">(T13-S13)*24*60</f>
        <v>76.000000000000014</v>
      </c>
      <c r="W13" s="30"/>
      <c r="X13" s="30"/>
      <c r="Y13" s="30"/>
      <c r="Z13" s="30"/>
      <c r="AA13" s="575"/>
      <c r="AB13" s="575"/>
      <c r="AC13" s="50">
        <v>5</v>
      </c>
      <c r="AD13" s="27"/>
      <c r="AE13" s="20">
        <f t="shared" si="8"/>
        <v>-67.105263157895024</v>
      </c>
      <c r="AF13" s="23">
        <f t="shared" si="9"/>
        <v>0.9552631578947367</v>
      </c>
      <c r="AG13" s="573">
        <f>AF18</f>
        <v>0.95505969687167835</v>
      </c>
    </row>
    <row r="14" spans="1:33" ht="16.5" customHeight="1">
      <c r="A14" s="601" t="s">
        <v>282</v>
      </c>
      <c r="B14" s="40" t="s">
        <v>74</v>
      </c>
      <c r="C14" s="594" t="s">
        <v>84</v>
      </c>
      <c r="D14" s="594"/>
      <c r="E14" s="39">
        <v>54.09</v>
      </c>
      <c r="F14" s="40">
        <v>2513</v>
      </c>
      <c r="G14" s="15">
        <f t="shared" si="15"/>
        <v>135928.17000000001</v>
      </c>
      <c r="H14" s="48" t="s">
        <v>126</v>
      </c>
      <c r="I14" s="17">
        <v>17</v>
      </c>
      <c r="J14" s="43">
        <v>1500</v>
      </c>
      <c r="K14" s="18">
        <f t="shared" si="1"/>
        <v>88.235294117647058</v>
      </c>
      <c r="L14" s="17">
        <v>17</v>
      </c>
      <c r="M14" s="19">
        <f t="shared" si="16"/>
        <v>1435.9999999999995</v>
      </c>
      <c r="N14" s="18">
        <f t="shared" si="3"/>
        <v>84.470588235294088</v>
      </c>
      <c r="O14" s="20">
        <f t="shared" si="4"/>
        <v>0</v>
      </c>
      <c r="P14" s="21">
        <f t="shared" si="5"/>
        <v>-3.7647058823529704</v>
      </c>
      <c r="Q14" s="23">
        <f t="shared" si="6"/>
        <v>0.95733333333333304</v>
      </c>
      <c r="R14" s="573"/>
      <c r="S14" s="49">
        <v>0.26527777777777778</v>
      </c>
      <c r="T14" s="49">
        <v>0.33819444444444446</v>
      </c>
      <c r="U14" s="15">
        <f t="shared" ref="U14:U17" si="18">IF(S14=TIME(17,0,0),"",(S14-T13)*24*60)</f>
        <v>5.9999999999999787</v>
      </c>
      <c r="V14" s="24">
        <f t="shared" si="17"/>
        <v>105.00000000000003</v>
      </c>
      <c r="W14" s="25"/>
      <c r="X14" s="25"/>
      <c r="Y14" s="25"/>
      <c r="Z14" s="25"/>
      <c r="AA14" s="575"/>
      <c r="AB14" s="575"/>
      <c r="AC14" s="50"/>
      <c r="AD14" s="27"/>
      <c r="AE14" s="20">
        <f t="shared" si="8"/>
        <v>-64.000000000000455</v>
      </c>
      <c r="AF14" s="23">
        <f t="shared" si="9"/>
        <v>0.95733333333333304</v>
      </c>
      <c r="AG14" s="573"/>
    </row>
    <row r="15" spans="1:33" ht="16.5" customHeight="1">
      <c r="A15" s="601" t="s">
        <v>281</v>
      </c>
      <c r="B15" s="40" t="s">
        <v>74</v>
      </c>
      <c r="C15" s="594" t="s">
        <v>85</v>
      </c>
      <c r="D15" s="594"/>
      <c r="E15" s="39">
        <v>53.68</v>
      </c>
      <c r="F15" s="40">
        <v>1192</v>
      </c>
      <c r="G15" s="15">
        <f t="shared" si="15"/>
        <v>63986.559999999998</v>
      </c>
      <c r="H15" s="48" t="s">
        <v>126</v>
      </c>
      <c r="I15" s="17">
        <v>16</v>
      </c>
      <c r="J15" s="43">
        <v>1500</v>
      </c>
      <c r="K15" s="18">
        <f t="shared" si="1"/>
        <v>93.75</v>
      </c>
      <c r="L15" s="17">
        <v>16</v>
      </c>
      <c r="M15" s="19">
        <f t="shared" si="16"/>
        <v>1430.4000000000003</v>
      </c>
      <c r="N15" s="18">
        <f t="shared" si="3"/>
        <v>89.40000000000002</v>
      </c>
      <c r="O15" s="20">
        <f t="shared" si="4"/>
        <v>0</v>
      </c>
      <c r="P15" s="21">
        <f t="shared" si="5"/>
        <v>-4.3499999999999801</v>
      </c>
      <c r="Q15" s="23">
        <f t="shared" si="6"/>
        <v>0.95360000000000023</v>
      </c>
      <c r="R15" s="573"/>
      <c r="S15" s="49">
        <v>0.70833333333333337</v>
      </c>
      <c r="T15" s="49">
        <v>0.74305555555555558</v>
      </c>
      <c r="U15" s="15" t="str">
        <f t="shared" si="18"/>
        <v/>
      </c>
      <c r="V15" s="24">
        <f t="shared" si="17"/>
        <v>49.999999999999986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-69.599999999999682</v>
      </c>
      <c r="AF15" s="23">
        <f t="shared" si="9"/>
        <v>0.95360000000000023</v>
      </c>
      <c r="AG15" s="573"/>
    </row>
    <row r="16" spans="1:33" ht="16.5" customHeight="1">
      <c r="A16" s="601" t="s">
        <v>281</v>
      </c>
      <c r="B16" s="40" t="s">
        <v>74</v>
      </c>
      <c r="C16" s="594" t="s">
        <v>86</v>
      </c>
      <c r="D16" s="594"/>
      <c r="E16" s="39">
        <v>50.92</v>
      </c>
      <c r="F16" s="40">
        <v>2130</v>
      </c>
      <c r="G16" s="15">
        <f t="shared" si="15"/>
        <v>108459.6</v>
      </c>
      <c r="H16" s="48" t="s">
        <v>126</v>
      </c>
      <c r="I16" s="17">
        <v>15</v>
      </c>
      <c r="J16" s="43">
        <v>2000</v>
      </c>
      <c r="K16" s="18">
        <f t="shared" si="1"/>
        <v>133.33333333333334</v>
      </c>
      <c r="L16" s="17">
        <v>15</v>
      </c>
      <c r="M16" s="19">
        <f t="shared" si="16"/>
        <v>1907.4626865671619</v>
      </c>
      <c r="N16" s="18">
        <f t="shared" si="3"/>
        <v>127.16417910447745</v>
      </c>
      <c r="O16" s="20">
        <f t="shared" si="4"/>
        <v>0</v>
      </c>
      <c r="P16" s="21">
        <f t="shared" si="5"/>
        <v>-6.1691542288558878</v>
      </c>
      <c r="Q16" s="23">
        <f t="shared" si="6"/>
        <v>0.95373134328358089</v>
      </c>
      <c r="R16" s="573"/>
      <c r="S16" s="49">
        <v>0.74791666666666667</v>
      </c>
      <c r="T16" s="49">
        <v>0.79444444444444451</v>
      </c>
      <c r="U16" s="15">
        <f t="shared" si="18"/>
        <v>6.9999999999999751</v>
      </c>
      <c r="V16" s="24">
        <f t="shared" si="17"/>
        <v>67.000000000000085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-92.537313432838118</v>
      </c>
      <c r="AF16" s="23">
        <f t="shared" si="9"/>
        <v>0.95373134328358089</v>
      </c>
      <c r="AG16" s="573"/>
    </row>
    <row r="17" spans="1:33" ht="16.5" customHeight="1">
      <c r="A17" s="601" t="s">
        <v>281</v>
      </c>
      <c r="B17" s="40" t="s">
        <v>74</v>
      </c>
      <c r="C17" s="594" t="s">
        <v>87</v>
      </c>
      <c r="D17" s="594"/>
      <c r="E17" s="39">
        <v>57.3</v>
      </c>
      <c r="F17" s="40">
        <v>1529</v>
      </c>
      <c r="G17" s="15">
        <f t="shared" si="15"/>
        <v>87611.7</v>
      </c>
      <c r="H17" s="48" t="s">
        <v>126</v>
      </c>
      <c r="I17" s="17">
        <v>13</v>
      </c>
      <c r="J17" s="43">
        <v>2000</v>
      </c>
      <c r="K17" s="18">
        <f t="shared" si="1"/>
        <v>153.84615384615384</v>
      </c>
      <c r="L17" s="17">
        <v>13</v>
      </c>
      <c r="M17" s="19">
        <f t="shared" si="16"/>
        <v>1911.2500000000005</v>
      </c>
      <c r="N17" s="18">
        <f t="shared" si="3"/>
        <v>147.0192307692308</v>
      </c>
      <c r="O17" s="20">
        <f t="shared" si="4"/>
        <v>0</v>
      </c>
      <c r="P17" s="21">
        <f t="shared" si="5"/>
        <v>-6.8269230769230376</v>
      </c>
      <c r="Q17" s="23">
        <f t="shared" si="6"/>
        <v>0.95562500000000028</v>
      </c>
      <c r="R17" s="573"/>
      <c r="S17" s="49">
        <v>0.7993055555555556</v>
      </c>
      <c r="T17" s="49">
        <v>0.83263888888888893</v>
      </c>
      <c r="U17" s="15">
        <f t="shared" si="18"/>
        <v>6.9999999999999751</v>
      </c>
      <c r="V17" s="24">
        <f t="shared" si="17"/>
        <v>47.999999999999986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-88.749999999999545</v>
      </c>
      <c r="AF17" s="23">
        <f t="shared" si="9"/>
        <v>0.95562500000000028</v>
      </c>
      <c r="AG17" s="573"/>
    </row>
    <row r="18" spans="1:33" ht="16.5" customHeight="1">
      <c r="A18" s="601" t="s">
        <v>282</v>
      </c>
      <c r="B18" s="39" t="s">
        <v>283</v>
      </c>
      <c r="C18" s="576"/>
      <c r="D18" s="576"/>
      <c r="E18" s="41"/>
      <c r="F18" s="42"/>
      <c r="G18" s="18"/>
      <c r="H18" s="40"/>
      <c r="I18" s="32">
        <v>17.399999999999999</v>
      </c>
      <c r="J18" s="43">
        <v>1700</v>
      </c>
      <c r="K18" s="18">
        <f t="shared" si="1"/>
        <v>97.701149425287369</v>
      </c>
      <c r="L18" s="32">
        <v>17.399999999999999</v>
      </c>
      <c r="M18" s="19">
        <f>AVERAGE(M13:M17)</f>
        <v>1623.6014846818532</v>
      </c>
      <c r="N18" s="18">
        <f t="shared" si="3"/>
        <v>93.310430154129506</v>
      </c>
      <c r="O18" s="20">
        <f t="shared" si="4"/>
        <v>0</v>
      </c>
      <c r="P18" s="21">
        <f t="shared" si="5"/>
        <v>-4.3907192711578631</v>
      </c>
      <c r="Q18" s="23">
        <f t="shared" si="6"/>
        <v>0.95505969687167835</v>
      </c>
      <c r="R18" s="573"/>
      <c r="S18" s="49"/>
      <c r="T18" s="49"/>
      <c r="U18" s="15"/>
      <c r="V18" s="24"/>
      <c r="W18" s="18"/>
      <c r="X18" s="18"/>
      <c r="Y18" s="33">
        <f>SUM(Y13:Y17)</f>
        <v>0</v>
      </c>
      <c r="Z18" s="33">
        <f>SUM(Z13:Z17)</f>
        <v>0</v>
      </c>
      <c r="AA18" s="572"/>
      <c r="AB18" s="572"/>
      <c r="AC18" s="33">
        <v>5</v>
      </c>
      <c r="AD18" s="33">
        <f>SUM(AD13:AD17)</f>
        <v>0</v>
      </c>
      <c r="AE18" s="20">
        <f t="shared" si="8"/>
        <v>-76.398515318146792</v>
      </c>
      <c r="AF18" s="23">
        <f t="shared" si="9"/>
        <v>0.95505969687167835</v>
      </c>
      <c r="AG18" s="573"/>
    </row>
    <row r="19" spans="1:33" ht="15.75" customHeight="1">
      <c r="A19" s="596" t="s">
        <v>284</v>
      </c>
      <c r="B19" s="39" t="s">
        <v>74</v>
      </c>
      <c r="C19" s="594" t="s">
        <v>88</v>
      </c>
      <c r="D19" s="594"/>
      <c r="E19" s="39">
        <v>59.04</v>
      </c>
      <c r="F19" s="40">
        <v>5286</v>
      </c>
      <c r="G19" s="15">
        <f t="shared" ref="G19:G24" si="19">E19*F19</f>
        <v>312085.44</v>
      </c>
      <c r="H19" s="48" t="s">
        <v>126</v>
      </c>
      <c r="I19" s="17">
        <v>19</v>
      </c>
      <c r="J19" s="43">
        <v>2000</v>
      </c>
      <c r="K19" s="18">
        <f t="shared" si="1"/>
        <v>105.26315789473684</v>
      </c>
      <c r="L19" s="17">
        <v>19</v>
      </c>
      <c r="M19" s="19">
        <f t="shared" ref="M19:M24" si="20">F19/V19*60</f>
        <v>1910.6024096385543</v>
      </c>
      <c r="N19" s="18">
        <f t="shared" si="3"/>
        <v>100.55802155992392</v>
      </c>
      <c r="O19" s="20">
        <f t="shared" si="4"/>
        <v>0</v>
      </c>
      <c r="P19" s="21">
        <f t="shared" si="5"/>
        <v>-4.70513633481292</v>
      </c>
      <c r="Q19" s="23">
        <f t="shared" si="6"/>
        <v>0.95530120481927727</v>
      </c>
      <c r="R19" s="573">
        <f>Q25</f>
        <v>0.95733546233376721</v>
      </c>
      <c r="S19" s="49">
        <v>0.20833333333333334</v>
      </c>
      <c r="T19" s="49">
        <v>0.32361111111111113</v>
      </c>
      <c r="U19" s="15"/>
      <c r="V19" s="24">
        <f t="shared" ref="V19:V24" si="21">(T19-S19)*24*60</f>
        <v>166</v>
      </c>
      <c r="W19" s="30"/>
      <c r="X19" s="30"/>
      <c r="Y19" s="30"/>
      <c r="Z19" s="30"/>
      <c r="AA19" s="575"/>
      <c r="AB19" s="575"/>
      <c r="AC19" s="50">
        <v>6</v>
      </c>
      <c r="AD19" s="27"/>
      <c r="AE19" s="20">
        <f t="shared" si="8"/>
        <v>-89.397590361445737</v>
      </c>
      <c r="AF19" s="23">
        <f t="shared" si="9"/>
        <v>0.95530120481927716</v>
      </c>
      <c r="AG19" s="573">
        <f>AF25</f>
        <v>0.95733546233376721</v>
      </c>
    </row>
    <row r="20" spans="1:33" ht="15.75" customHeight="1">
      <c r="A20" s="597" t="s">
        <v>284</v>
      </c>
      <c r="B20" s="39" t="s">
        <v>74</v>
      </c>
      <c r="C20" s="594" t="s">
        <v>89</v>
      </c>
      <c r="D20" s="594"/>
      <c r="E20" s="39">
        <v>50.67</v>
      </c>
      <c r="F20" s="40">
        <v>1822</v>
      </c>
      <c r="G20" s="15">
        <f t="shared" si="19"/>
        <v>92320.74</v>
      </c>
      <c r="H20" s="48" t="s">
        <v>126</v>
      </c>
      <c r="I20" s="17">
        <v>17</v>
      </c>
      <c r="J20" s="43">
        <v>2000</v>
      </c>
      <c r="K20" s="18">
        <f t="shared" si="1"/>
        <v>117.64705882352941</v>
      </c>
      <c r="L20" s="17">
        <v>17</v>
      </c>
      <c r="M20" s="19">
        <f t="shared" si="20"/>
        <v>1917.8947368421041</v>
      </c>
      <c r="N20" s="18">
        <f t="shared" si="3"/>
        <v>112.81733746130024</v>
      </c>
      <c r="O20" s="20">
        <f t="shared" si="4"/>
        <v>0</v>
      </c>
      <c r="P20" s="21">
        <f t="shared" si="5"/>
        <v>-4.829721362229165</v>
      </c>
      <c r="Q20" s="23">
        <f t="shared" si="6"/>
        <v>0.9589473684210521</v>
      </c>
      <c r="R20" s="573"/>
      <c r="S20" s="49">
        <v>0.32777777777777778</v>
      </c>
      <c r="T20" s="49">
        <v>0.36736111111111114</v>
      </c>
      <c r="U20" s="15">
        <f t="shared" ref="U20:U24" si="22">IF(S20=TIME(17,0,0),"",(S20-T19)*24*60)</f>
        <v>5.9999999999999787</v>
      </c>
      <c r="V20" s="24">
        <f t="shared" si="21"/>
        <v>57.000000000000036</v>
      </c>
      <c r="W20" s="25"/>
      <c r="X20" s="15"/>
      <c r="Y20" s="15"/>
      <c r="Z20" s="15"/>
      <c r="AA20" s="575"/>
      <c r="AB20" s="575"/>
      <c r="AC20" s="50"/>
      <c r="AD20" s="27"/>
      <c r="AE20" s="20">
        <f t="shared" si="8"/>
        <v>-82.105263157895934</v>
      </c>
      <c r="AF20" s="23">
        <f t="shared" si="9"/>
        <v>0.95894736842105199</v>
      </c>
      <c r="AG20" s="573"/>
    </row>
    <row r="21" spans="1:33" ht="15.75" customHeight="1">
      <c r="A21" s="597" t="s">
        <v>284</v>
      </c>
      <c r="B21" s="39" t="s">
        <v>74</v>
      </c>
      <c r="C21" s="594" t="s">
        <v>90</v>
      </c>
      <c r="D21" s="594"/>
      <c r="E21" s="39">
        <v>57.73</v>
      </c>
      <c r="F21" s="40">
        <v>2010</v>
      </c>
      <c r="G21" s="15">
        <f t="shared" si="19"/>
        <v>116037.29999999999</v>
      </c>
      <c r="H21" s="48" t="s">
        <v>126</v>
      </c>
      <c r="I21" s="17">
        <v>14</v>
      </c>
      <c r="J21" s="43">
        <v>2000</v>
      </c>
      <c r="K21" s="18">
        <f t="shared" si="1"/>
        <v>142.85714285714286</v>
      </c>
      <c r="L21" s="17">
        <v>14</v>
      </c>
      <c r="M21" s="19">
        <f t="shared" si="20"/>
        <v>1914.2857142857138</v>
      </c>
      <c r="N21" s="18">
        <f t="shared" si="3"/>
        <v>136.734693877551</v>
      </c>
      <c r="O21" s="20">
        <f t="shared" si="4"/>
        <v>0</v>
      </c>
      <c r="P21" s="21">
        <f t="shared" si="5"/>
        <v>-6.1224489795918657</v>
      </c>
      <c r="Q21" s="23">
        <f t="shared" si="6"/>
        <v>0.95714285714285696</v>
      </c>
      <c r="R21" s="573"/>
      <c r="S21" s="49">
        <v>0.37222222222222223</v>
      </c>
      <c r="T21" s="49">
        <v>0.41597222222222224</v>
      </c>
      <c r="U21" s="15">
        <f t="shared" si="22"/>
        <v>6.9999999999999751</v>
      </c>
      <c r="V21" s="24">
        <f t="shared" si="21"/>
        <v>63.000000000000014</v>
      </c>
      <c r="W21" s="25"/>
      <c r="X21" s="15"/>
      <c r="Y21" s="15"/>
      <c r="Z21" s="15"/>
      <c r="AA21" s="575"/>
      <c r="AB21" s="575"/>
      <c r="AC21" s="50"/>
      <c r="AD21" s="27"/>
      <c r="AE21" s="20">
        <f t="shared" si="8"/>
        <v>-85.714285714286234</v>
      </c>
      <c r="AF21" s="23">
        <f t="shared" si="9"/>
        <v>0.95714285714285685</v>
      </c>
      <c r="AG21" s="573"/>
    </row>
    <row r="22" spans="1:33" ht="15.75" customHeight="1">
      <c r="A22" s="597" t="s">
        <v>284</v>
      </c>
      <c r="B22" s="39" t="s">
        <v>74</v>
      </c>
      <c r="C22" s="594" t="s">
        <v>91</v>
      </c>
      <c r="D22" s="594"/>
      <c r="E22" s="39">
        <v>53.68</v>
      </c>
      <c r="F22" s="40">
        <v>1160</v>
      </c>
      <c r="G22" s="15">
        <f t="shared" si="19"/>
        <v>62268.800000000003</v>
      </c>
      <c r="H22" s="48" t="s">
        <v>126</v>
      </c>
      <c r="I22" s="17">
        <v>16</v>
      </c>
      <c r="J22" s="43">
        <v>2000</v>
      </c>
      <c r="K22" s="18">
        <f t="shared" si="1"/>
        <v>125</v>
      </c>
      <c r="L22" s="17">
        <v>16</v>
      </c>
      <c r="M22" s="19">
        <f t="shared" si="20"/>
        <v>1933.3333333333321</v>
      </c>
      <c r="N22" s="18">
        <f t="shared" si="3"/>
        <v>120.83333333333326</v>
      </c>
      <c r="O22" s="20">
        <f t="shared" si="4"/>
        <v>0</v>
      </c>
      <c r="P22" s="21">
        <f t="shared" si="5"/>
        <v>-4.1666666666667425</v>
      </c>
      <c r="Q22" s="23">
        <f t="shared" si="6"/>
        <v>0.96666666666666601</v>
      </c>
      <c r="R22" s="573"/>
      <c r="S22" s="49">
        <v>0.4201388888888889</v>
      </c>
      <c r="T22" s="49">
        <v>0.44513888888888892</v>
      </c>
      <c r="U22" s="15">
        <f t="shared" si="22"/>
        <v>5.9999999999999787</v>
      </c>
      <c r="V22" s="24">
        <f t="shared" si="21"/>
        <v>36.000000000000028</v>
      </c>
      <c r="W22" s="25"/>
      <c r="X22" s="15"/>
      <c r="Y22" s="15"/>
      <c r="Z22" s="15"/>
      <c r="AA22" s="575"/>
      <c r="AB22" s="575"/>
      <c r="AC22" s="50"/>
      <c r="AD22" s="27"/>
      <c r="AE22" s="20">
        <f t="shared" si="8"/>
        <v>-66.666666666667879</v>
      </c>
      <c r="AF22" s="23">
        <f t="shared" si="9"/>
        <v>0.96666666666666601</v>
      </c>
      <c r="AG22" s="573"/>
    </row>
    <row r="23" spans="1:33" ht="15.75" customHeight="1">
      <c r="A23" s="597" t="s">
        <v>284</v>
      </c>
      <c r="B23" s="39" t="s">
        <v>74</v>
      </c>
      <c r="C23" s="594" t="s">
        <v>92</v>
      </c>
      <c r="D23" s="594"/>
      <c r="E23" s="39">
        <v>50.49</v>
      </c>
      <c r="F23" s="40">
        <v>1936</v>
      </c>
      <c r="G23" s="15">
        <f t="shared" si="19"/>
        <v>97748.64</v>
      </c>
      <c r="H23" s="48" t="s">
        <v>126</v>
      </c>
      <c r="I23" s="17">
        <v>15</v>
      </c>
      <c r="J23" s="43">
        <v>2000</v>
      </c>
      <c r="K23" s="18">
        <f t="shared" si="1"/>
        <v>133.33333333333334</v>
      </c>
      <c r="L23" s="17">
        <v>15</v>
      </c>
      <c r="M23" s="19">
        <f t="shared" si="20"/>
        <v>1904.2622950819689</v>
      </c>
      <c r="N23" s="18">
        <f t="shared" si="3"/>
        <v>126.95081967213126</v>
      </c>
      <c r="O23" s="20">
        <f t="shared" si="4"/>
        <v>0</v>
      </c>
      <c r="P23" s="21">
        <f t="shared" si="5"/>
        <v>-6.3825136612020827</v>
      </c>
      <c r="Q23" s="23">
        <f t="shared" si="6"/>
        <v>0.95213114754098438</v>
      </c>
      <c r="R23" s="573"/>
      <c r="S23" s="49">
        <v>0.70833333333333337</v>
      </c>
      <c r="T23" s="49">
        <v>0.75069444444444444</v>
      </c>
      <c r="U23" s="15" t="str">
        <f t="shared" si="22"/>
        <v/>
      </c>
      <c r="V23" s="24">
        <f t="shared" si="21"/>
        <v>60.999999999999943</v>
      </c>
      <c r="W23" s="25"/>
      <c r="X23" s="25"/>
      <c r="Y23" s="15"/>
      <c r="Z23" s="15"/>
      <c r="AA23" s="575"/>
      <c r="AB23" s="575"/>
      <c r="AC23" s="50"/>
      <c r="AD23" s="27"/>
      <c r="AE23" s="20">
        <f t="shared" si="8"/>
        <v>-95.737704918031113</v>
      </c>
      <c r="AF23" s="23">
        <f t="shared" si="9"/>
        <v>0.95213114754098449</v>
      </c>
      <c r="AG23" s="573"/>
    </row>
    <row r="24" spans="1:33" ht="15.75" customHeight="1">
      <c r="A24" s="597" t="s">
        <v>284</v>
      </c>
      <c r="B24" s="39" t="s">
        <v>74</v>
      </c>
      <c r="C24" s="594" t="s">
        <v>93</v>
      </c>
      <c r="D24" s="594"/>
      <c r="E24" s="39">
        <v>50.98</v>
      </c>
      <c r="F24" s="40">
        <v>2162</v>
      </c>
      <c r="G24" s="15">
        <f t="shared" si="19"/>
        <v>110218.76</v>
      </c>
      <c r="H24" s="48" t="s">
        <v>126</v>
      </c>
      <c r="I24" s="17">
        <v>16</v>
      </c>
      <c r="J24" s="43">
        <v>2000</v>
      </c>
      <c r="K24" s="18">
        <f t="shared" si="1"/>
        <v>125</v>
      </c>
      <c r="L24" s="17">
        <v>16</v>
      </c>
      <c r="M24" s="19">
        <f t="shared" si="20"/>
        <v>1907.647058823532</v>
      </c>
      <c r="N24" s="18">
        <f t="shared" si="3"/>
        <v>119.22794117647075</v>
      </c>
      <c r="O24" s="20">
        <f t="shared" si="4"/>
        <v>0</v>
      </c>
      <c r="P24" s="21">
        <f t="shared" si="5"/>
        <v>-5.7720588235292496</v>
      </c>
      <c r="Q24" s="23">
        <f t="shared" si="6"/>
        <v>0.95382352941176596</v>
      </c>
      <c r="R24" s="573"/>
      <c r="S24" s="49">
        <v>0.75486111111111109</v>
      </c>
      <c r="T24" s="49">
        <v>0.80208333333333326</v>
      </c>
      <c r="U24" s="15">
        <f t="shared" si="22"/>
        <v>5.9999999999999787</v>
      </c>
      <c r="V24" s="24">
        <f t="shared" si="21"/>
        <v>67.999999999999915</v>
      </c>
      <c r="W24" s="25"/>
      <c r="X24" s="30"/>
      <c r="Y24" s="30"/>
      <c r="Z24" s="30"/>
      <c r="AA24" s="575"/>
      <c r="AB24" s="575"/>
      <c r="AC24" s="50"/>
      <c r="AD24" s="27"/>
      <c r="AE24" s="20">
        <f t="shared" si="8"/>
        <v>-92.352941176467994</v>
      </c>
      <c r="AF24" s="23">
        <f t="shared" si="9"/>
        <v>0.95382352941176596</v>
      </c>
      <c r="AG24" s="573"/>
    </row>
    <row r="25" spans="1:33" ht="15.75" customHeight="1">
      <c r="A25" s="597" t="s">
        <v>284</v>
      </c>
      <c r="B25" s="39" t="s">
        <v>278</v>
      </c>
      <c r="C25" s="576"/>
      <c r="D25" s="576"/>
      <c r="E25" s="41"/>
      <c r="F25" s="40"/>
      <c r="G25" s="15"/>
      <c r="H25" s="40"/>
      <c r="I25" s="32">
        <v>16.166666666666668</v>
      </c>
      <c r="J25" s="43">
        <v>2000</v>
      </c>
      <c r="K25" s="18">
        <f t="shared" si="1"/>
        <v>123.71134020618555</v>
      </c>
      <c r="L25" s="32">
        <v>16.166666666666668</v>
      </c>
      <c r="M25" s="19">
        <f>AVERAGE(M19:M24)</f>
        <v>1914.6709246675343</v>
      </c>
      <c r="N25" s="18">
        <f t="shared" si="3"/>
        <v>118.4332530722186</v>
      </c>
      <c r="O25" s="20">
        <f t="shared" si="4"/>
        <v>0</v>
      </c>
      <c r="P25" s="21">
        <f t="shared" si="5"/>
        <v>-5.2780871339669488</v>
      </c>
      <c r="Q25" s="23">
        <f t="shared" si="6"/>
        <v>0.95733546233376721</v>
      </c>
      <c r="R25" s="573"/>
      <c r="S25" s="49"/>
      <c r="T25" s="49"/>
      <c r="U25" s="18"/>
      <c r="V25" s="24"/>
      <c r="W25" s="18"/>
      <c r="X25" s="18"/>
      <c r="Y25" s="33">
        <f>SUM(Y19:Y24)</f>
        <v>0</v>
      </c>
      <c r="Z25" s="33">
        <f>SUM(Z19:Z24)</f>
        <v>0</v>
      </c>
      <c r="AA25" s="572"/>
      <c r="AB25" s="572"/>
      <c r="AC25" s="33">
        <v>6</v>
      </c>
      <c r="AD25" s="33">
        <f>SUM(AD19:AD24)</f>
        <v>0</v>
      </c>
      <c r="AE25" s="20">
        <f t="shared" si="8"/>
        <v>-85.329075332465663</v>
      </c>
      <c r="AF25" s="23">
        <f t="shared" si="9"/>
        <v>0.95733546233376721</v>
      </c>
      <c r="AG25" s="573"/>
    </row>
    <row r="26" spans="1:33" ht="15.75" customHeight="1">
      <c r="A26" s="595" t="s">
        <v>285</v>
      </c>
      <c r="B26" s="39" t="s">
        <v>94</v>
      </c>
      <c r="C26" s="594" t="s">
        <v>95</v>
      </c>
      <c r="D26" s="594"/>
      <c r="E26" s="39">
        <v>31.29</v>
      </c>
      <c r="F26" s="40">
        <v>5600</v>
      </c>
      <c r="G26" s="15">
        <f t="shared" ref="G26:G30" si="23">E26*F26</f>
        <v>175224</v>
      </c>
      <c r="H26" s="48">
        <v>2</v>
      </c>
      <c r="I26" s="17">
        <v>18</v>
      </c>
      <c r="J26" s="43">
        <v>2400</v>
      </c>
      <c r="K26" s="18">
        <f t="shared" si="1"/>
        <v>133.33333333333334</v>
      </c>
      <c r="L26" s="17">
        <v>18</v>
      </c>
      <c r="M26" s="19">
        <f t="shared" ref="M26:M30" si="24">F26/V26*60</f>
        <v>2285.7142857142858</v>
      </c>
      <c r="N26" s="18">
        <f t="shared" si="3"/>
        <v>126.98412698412699</v>
      </c>
      <c r="O26" s="20">
        <f t="shared" si="4"/>
        <v>0</v>
      </c>
      <c r="P26" s="21">
        <f t="shared" si="5"/>
        <v>-6.3492063492063551</v>
      </c>
      <c r="Q26" s="23">
        <f t="shared" si="6"/>
        <v>0.95238095238095233</v>
      </c>
      <c r="R26" s="573">
        <f>Q31</f>
        <v>0.95521057081851846</v>
      </c>
      <c r="S26" s="49">
        <v>8.3333333333333329E-2</v>
      </c>
      <c r="T26" s="49">
        <v>0.18541666666666667</v>
      </c>
      <c r="U26" s="15"/>
      <c r="V26" s="24">
        <f t="shared" ref="V26:V30" si="25">(T26-S26)*24*60</f>
        <v>147</v>
      </c>
      <c r="W26" s="25">
        <f>T26</f>
        <v>0.18541666666666667</v>
      </c>
      <c r="X26" s="25">
        <f>S27</f>
        <v>0.20555555555555557</v>
      </c>
      <c r="Y26" s="25"/>
      <c r="Z26" s="25"/>
      <c r="AA26" s="575"/>
      <c r="AB26" s="575"/>
      <c r="AC26" s="50">
        <v>5</v>
      </c>
      <c r="AD26" s="27"/>
      <c r="AE26" s="20">
        <f t="shared" si="8"/>
        <v>-114.28571428571422</v>
      </c>
      <c r="AF26" s="23">
        <f t="shared" si="9"/>
        <v>0.95238095238095244</v>
      </c>
      <c r="AG26" s="573">
        <f>AF31</f>
        <v>0.95521057081851835</v>
      </c>
    </row>
    <row r="27" spans="1:33" ht="15.75" customHeight="1">
      <c r="A27" s="595" t="s">
        <v>286</v>
      </c>
      <c r="B27" s="39" t="s">
        <v>94</v>
      </c>
      <c r="C27" s="594" t="s">
        <v>96</v>
      </c>
      <c r="D27" s="594"/>
      <c r="E27" s="39">
        <v>26.2</v>
      </c>
      <c r="F27" s="40">
        <v>4751</v>
      </c>
      <c r="G27" s="15">
        <f t="shared" si="23"/>
        <v>124476.2</v>
      </c>
      <c r="H27" s="48" t="s">
        <v>126</v>
      </c>
      <c r="I27" s="17">
        <v>20</v>
      </c>
      <c r="J27" s="43">
        <v>2400</v>
      </c>
      <c r="K27" s="18">
        <f t="shared" si="1"/>
        <v>120</v>
      </c>
      <c r="L27" s="17">
        <v>20</v>
      </c>
      <c r="M27" s="19">
        <f t="shared" si="24"/>
        <v>2298.8709677419356</v>
      </c>
      <c r="N27" s="18">
        <f t="shared" si="3"/>
        <v>114.94354838709678</v>
      </c>
      <c r="O27" s="20">
        <f t="shared" si="4"/>
        <v>0</v>
      </c>
      <c r="P27" s="21">
        <f t="shared" si="5"/>
        <v>-5.0564516129032171</v>
      </c>
      <c r="Q27" s="23">
        <f t="shared" si="6"/>
        <v>0.95786290322580647</v>
      </c>
      <c r="R27" s="573"/>
      <c r="S27" s="49">
        <v>0.20555555555555557</v>
      </c>
      <c r="T27" s="49">
        <v>0.29166666666666669</v>
      </c>
      <c r="U27" s="15">
        <f t="shared" ref="U27:U30" si="26">(S27-T26)*24*60</f>
        <v>29.000000000000018</v>
      </c>
      <c r="V27" s="24">
        <f t="shared" si="25"/>
        <v>123.99999999999999</v>
      </c>
      <c r="W27" s="25"/>
      <c r="X27" s="25"/>
      <c r="Y27" s="25"/>
      <c r="Z27" s="25"/>
      <c r="AA27" s="575"/>
      <c r="AB27" s="575"/>
      <c r="AC27" s="50"/>
      <c r="AD27" s="27"/>
      <c r="AE27" s="20">
        <f t="shared" si="8"/>
        <v>-101.1290322580644</v>
      </c>
      <c r="AF27" s="23">
        <f t="shared" si="9"/>
        <v>0.95786290322580647</v>
      </c>
      <c r="AG27" s="573"/>
    </row>
    <row r="28" spans="1:33" ht="15.75" customHeight="1">
      <c r="A28" s="595" t="s">
        <v>286</v>
      </c>
      <c r="B28" s="39" t="s">
        <v>94</v>
      </c>
      <c r="C28" s="594" t="s">
        <v>97</v>
      </c>
      <c r="D28" s="594"/>
      <c r="E28" s="39">
        <v>26.37</v>
      </c>
      <c r="F28" s="40">
        <v>7648</v>
      </c>
      <c r="G28" s="15">
        <f t="shared" si="23"/>
        <v>201677.76</v>
      </c>
      <c r="H28" s="48" t="s">
        <v>126</v>
      </c>
      <c r="I28" s="17">
        <v>19</v>
      </c>
      <c r="J28" s="43">
        <v>2400</v>
      </c>
      <c r="K28" s="18">
        <f t="shared" si="1"/>
        <v>126.31578947368421</v>
      </c>
      <c r="L28" s="17">
        <v>19</v>
      </c>
      <c r="M28" s="19">
        <f t="shared" si="24"/>
        <v>2282.9850746268658</v>
      </c>
      <c r="N28" s="18">
        <f t="shared" si="3"/>
        <v>120.15710919088767</v>
      </c>
      <c r="O28" s="20">
        <f t="shared" si="4"/>
        <v>0</v>
      </c>
      <c r="P28" s="21">
        <f t="shared" si="5"/>
        <v>-6.1586802827965386</v>
      </c>
      <c r="Q28" s="23">
        <f t="shared" si="6"/>
        <v>0.95124378109452745</v>
      </c>
      <c r="R28" s="573"/>
      <c r="S28" s="49">
        <v>0.29583333333333334</v>
      </c>
      <c r="T28" s="49">
        <v>0.43541666666666667</v>
      </c>
      <c r="U28" s="15">
        <f t="shared" si="26"/>
        <v>5.9999999999999787</v>
      </c>
      <c r="V28" s="24">
        <f t="shared" si="25"/>
        <v>201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8"/>
        <v>-117.01492537313425</v>
      </c>
      <c r="AF28" s="23">
        <f t="shared" si="9"/>
        <v>0.95124378109452745</v>
      </c>
      <c r="AG28" s="573"/>
    </row>
    <row r="29" spans="1:33" ht="15.75" customHeight="1">
      <c r="A29" s="595" t="s">
        <v>55</v>
      </c>
      <c r="B29" s="39" t="s">
        <v>94</v>
      </c>
      <c r="C29" s="594" t="s">
        <v>98</v>
      </c>
      <c r="D29" s="594"/>
      <c r="E29" s="39">
        <v>25.99</v>
      </c>
      <c r="F29" s="40">
        <v>3830</v>
      </c>
      <c r="G29" s="15">
        <f t="shared" si="23"/>
        <v>99541.7</v>
      </c>
      <c r="H29" s="48" t="s">
        <v>126</v>
      </c>
      <c r="I29" s="17">
        <v>14</v>
      </c>
      <c r="J29" s="43">
        <v>2400</v>
      </c>
      <c r="K29" s="18">
        <f t="shared" si="1"/>
        <v>171.42857142857142</v>
      </c>
      <c r="L29" s="17">
        <v>14</v>
      </c>
      <c r="M29" s="19">
        <f t="shared" si="24"/>
        <v>2298.0000000000009</v>
      </c>
      <c r="N29" s="18">
        <f t="shared" si="3"/>
        <v>164.1428571428572</v>
      </c>
      <c r="O29" s="20">
        <f t="shared" si="4"/>
        <v>0</v>
      </c>
      <c r="P29" s="21">
        <f t="shared" si="5"/>
        <v>-7.2857142857142208</v>
      </c>
      <c r="Q29" s="23">
        <f t="shared" si="6"/>
        <v>0.95750000000000035</v>
      </c>
      <c r="R29" s="573"/>
      <c r="S29" s="49">
        <v>0.44097222222222221</v>
      </c>
      <c r="T29" s="49">
        <v>0.51041666666666663</v>
      </c>
      <c r="U29" s="15">
        <f t="shared" si="26"/>
        <v>7.9999999999999716</v>
      </c>
      <c r="V29" s="24">
        <f t="shared" si="25"/>
        <v>99.999999999999972</v>
      </c>
      <c r="W29" s="25">
        <f>T29</f>
        <v>0.51041666666666663</v>
      </c>
      <c r="X29" s="25">
        <f>S30</f>
        <v>0.55069444444444438</v>
      </c>
      <c r="Y29" s="25"/>
      <c r="Z29" s="25"/>
      <c r="AA29" s="575"/>
      <c r="AB29" s="575"/>
      <c r="AC29" s="50"/>
      <c r="AD29" s="27"/>
      <c r="AE29" s="20">
        <f t="shared" si="8"/>
        <v>-101.99999999999909</v>
      </c>
      <c r="AF29" s="23">
        <f t="shared" si="9"/>
        <v>0.95750000000000035</v>
      </c>
      <c r="AG29" s="573"/>
    </row>
    <row r="30" spans="1:33" ht="15.75" customHeight="1">
      <c r="A30" s="595" t="s">
        <v>55</v>
      </c>
      <c r="B30" s="39" t="s">
        <v>94</v>
      </c>
      <c r="C30" s="594" t="s">
        <v>95</v>
      </c>
      <c r="D30" s="594"/>
      <c r="E30" s="39">
        <v>31.29</v>
      </c>
      <c r="F30" s="40">
        <v>3522</v>
      </c>
      <c r="G30" s="15">
        <f t="shared" si="23"/>
        <v>110203.37999999999</v>
      </c>
      <c r="H30" s="48" t="s">
        <v>126</v>
      </c>
      <c r="I30" s="17">
        <v>18</v>
      </c>
      <c r="J30" s="43">
        <v>2400</v>
      </c>
      <c r="K30" s="18">
        <f t="shared" si="1"/>
        <v>133.33333333333334</v>
      </c>
      <c r="L30" s="17">
        <v>18</v>
      </c>
      <c r="M30" s="19">
        <f t="shared" si="24"/>
        <v>2296.9565217391305</v>
      </c>
      <c r="N30" s="18">
        <f t="shared" si="3"/>
        <v>127.60869565217392</v>
      </c>
      <c r="O30" s="20">
        <f t="shared" si="4"/>
        <v>0</v>
      </c>
      <c r="P30" s="21">
        <f t="shared" si="5"/>
        <v>-5.7246376811594217</v>
      </c>
      <c r="Q30" s="23">
        <f t="shared" si="6"/>
        <v>0.95706521739130435</v>
      </c>
      <c r="R30" s="573"/>
      <c r="S30" s="49">
        <v>0.55069444444444438</v>
      </c>
      <c r="T30" s="49">
        <v>0.61458333333333326</v>
      </c>
      <c r="U30" s="15">
        <f t="shared" si="26"/>
        <v>57.999999999999957</v>
      </c>
      <c r="V30" s="24">
        <f t="shared" si="25"/>
        <v>92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8"/>
        <v>-103.04347826086951</v>
      </c>
      <c r="AF30" s="23">
        <f t="shared" si="9"/>
        <v>0.95706521739130435</v>
      </c>
      <c r="AG30" s="573"/>
    </row>
    <row r="31" spans="1:33" ht="15.75" customHeight="1">
      <c r="A31" s="595" t="s">
        <v>55</v>
      </c>
      <c r="B31" s="39" t="s">
        <v>46</v>
      </c>
      <c r="C31" s="576"/>
      <c r="D31" s="576"/>
      <c r="E31" s="41"/>
      <c r="F31" s="40"/>
      <c r="G31" s="15"/>
      <c r="H31" s="40"/>
      <c r="I31" s="32">
        <v>17.8</v>
      </c>
      <c r="J31" s="43">
        <v>2400</v>
      </c>
      <c r="K31" s="18">
        <f t="shared" si="1"/>
        <v>134.83146067415728</v>
      </c>
      <c r="L31" s="32">
        <v>17.8</v>
      </c>
      <c r="M31" s="19">
        <f>AVERAGE(M26:M30)</f>
        <v>2292.5053699644441</v>
      </c>
      <c r="N31" s="18">
        <f t="shared" si="3"/>
        <v>128.7924365148564</v>
      </c>
      <c r="O31" s="20">
        <f t="shared" si="4"/>
        <v>0</v>
      </c>
      <c r="P31" s="21">
        <f t="shared" si="5"/>
        <v>-6.0390241593008795</v>
      </c>
      <c r="Q31" s="23">
        <f t="shared" si="6"/>
        <v>0.95521057081851846</v>
      </c>
      <c r="R31" s="573"/>
      <c r="S31" s="49"/>
      <c r="T31" s="49"/>
      <c r="U31" s="15"/>
      <c r="V31" s="24"/>
      <c r="W31" s="15"/>
      <c r="X31" s="15"/>
      <c r="Y31" s="33">
        <f>SUM(Y26:Y30)</f>
        <v>0</v>
      </c>
      <c r="Z31" s="33">
        <f>SUM(Z26:Z30)</f>
        <v>0</v>
      </c>
      <c r="AA31" s="572"/>
      <c r="AB31" s="572"/>
      <c r="AC31" s="33">
        <v>5</v>
      </c>
      <c r="AD31" s="33">
        <f>SUM(AD26:AD30)</f>
        <v>0</v>
      </c>
      <c r="AE31" s="20">
        <f t="shared" si="8"/>
        <v>-107.49463003555593</v>
      </c>
      <c r="AF31" s="23">
        <f t="shared" si="9"/>
        <v>0.95521057081851835</v>
      </c>
      <c r="AG31" s="573"/>
    </row>
    <row r="32" spans="1:33" ht="15.75" customHeight="1">
      <c r="A32" s="592" t="s">
        <v>287</v>
      </c>
      <c r="B32" s="39" t="s">
        <v>94</v>
      </c>
      <c r="C32" s="574" t="s">
        <v>99</v>
      </c>
      <c r="D32" s="574"/>
      <c r="E32" s="39">
        <v>20.36</v>
      </c>
      <c r="F32" s="40">
        <v>7287</v>
      </c>
      <c r="G32" s="15">
        <f t="shared" ref="G32:G37" si="27">E32*F32</f>
        <v>148363.32</v>
      </c>
      <c r="H32" s="48" t="s">
        <v>126</v>
      </c>
      <c r="I32" s="17">
        <v>18</v>
      </c>
      <c r="J32" s="43">
        <v>2400</v>
      </c>
      <c r="K32" s="18">
        <f t="shared" si="1"/>
        <v>133.33333333333334</v>
      </c>
      <c r="L32" s="17">
        <v>18</v>
      </c>
      <c r="M32" s="19">
        <f t="shared" ref="M32:M37" si="28">F32/V32*60</f>
        <v>2289.1099476439786</v>
      </c>
      <c r="N32" s="18">
        <f t="shared" si="3"/>
        <v>127.17277486910992</v>
      </c>
      <c r="O32" s="20">
        <f t="shared" si="4"/>
        <v>0</v>
      </c>
      <c r="P32" s="21">
        <f t="shared" si="5"/>
        <v>-6.1605584642234277</v>
      </c>
      <c r="Q32" s="23">
        <f t="shared" si="6"/>
        <v>0.95379581151832427</v>
      </c>
      <c r="R32" s="573">
        <f>Q38</f>
        <v>0.95412339289936743</v>
      </c>
      <c r="S32" s="49">
        <v>8.3333333333333329E-2</v>
      </c>
      <c r="T32" s="49">
        <v>0.21597222222222223</v>
      </c>
      <c r="U32" s="15"/>
      <c r="V32" s="24">
        <f t="shared" ref="V32:V37" si="29">(T32-S32)*24*60</f>
        <v>191.00000000000003</v>
      </c>
      <c r="W32" s="30">
        <f>T32</f>
        <v>0.21597222222222223</v>
      </c>
      <c r="X32" s="30">
        <f>S33</f>
        <v>0.23472222222222222</v>
      </c>
      <c r="Y32" s="30"/>
      <c r="Z32" s="30"/>
      <c r="AA32" s="575"/>
      <c r="AB32" s="575"/>
      <c r="AC32" s="50">
        <v>6</v>
      </c>
      <c r="AD32" s="27"/>
      <c r="AE32" s="20">
        <f t="shared" si="8"/>
        <v>-110.89005235602144</v>
      </c>
      <c r="AF32" s="23">
        <f t="shared" si="9"/>
        <v>0.95379581151832438</v>
      </c>
      <c r="AG32" s="573">
        <f>AF38</f>
        <v>0.95412339289936743</v>
      </c>
    </row>
    <row r="33" spans="1:33" ht="15.75" customHeight="1">
      <c r="A33" s="592" t="s">
        <v>288</v>
      </c>
      <c r="B33" s="39" t="s">
        <v>94</v>
      </c>
      <c r="C33" s="574" t="s">
        <v>100</v>
      </c>
      <c r="D33" s="574"/>
      <c r="E33" s="39">
        <v>24.43</v>
      </c>
      <c r="F33" s="40">
        <v>5758</v>
      </c>
      <c r="G33" s="15">
        <f t="shared" si="27"/>
        <v>140667.94</v>
      </c>
      <c r="H33" s="48" t="s">
        <v>126</v>
      </c>
      <c r="I33" s="17">
        <v>14</v>
      </c>
      <c r="J33" s="43">
        <v>2400</v>
      </c>
      <c r="K33" s="18">
        <f t="shared" si="1"/>
        <v>171.42857142857142</v>
      </c>
      <c r="L33" s="17">
        <v>14</v>
      </c>
      <c r="M33" s="19">
        <f t="shared" si="28"/>
        <v>2287.9470198675494</v>
      </c>
      <c r="N33" s="18">
        <f t="shared" si="3"/>
        <v>163.42478713339639</v>
      </c>
      <c r="O33" s="20">
        <f t="shared" si="4"/>
        <v>0</v>
      </c>
      <c r="P33" s="21">
        <f t="shared" si="5"/>
        <v>-8.0037842951750235</v>
      </c>
      <c r="Q33" s="23">
        <f t="shared" si="6"/>
        <v>0.95331125827814567</v>
      </c>
      <c r="R33" s="573"/>
      <c r="S33" s="49">
        <v>0.23472222222222222</v>
      </c>
      <c r="T33" s="49">
        <v>0.33958333333333335</v>
      </c>
      <c r="U33" s="15">
        <f t="shared" ref="U33:U37" si="30">(S33-T32)*24*60</f>
        <v>26.999999999999986</v>
      </c>
      <c r="V33" s="24">
        <f t="shared" si="29"/>
        <v>151.00000000000003</v>
      </c>
      <c r="W33" s="15"/>
      <c r="X33" s="15"/>
      <c r="Y33" s="15"/>
      <c r="Z33" s="15"/>
      <c r="AA33" s="575"/>
      <c r="AB33" s="575"/>
      <c r="AC33" s="50"/>
      <c r="AD33" s="27"/>
      <c r="AE33" s="20">
        <f t="shared" si="8"/>
        <v>-112.05298013245056</v>
      </c>
      <c r="AF33" s="23">
        <f t="shared" si="9"/>
        <v>0.95331125827814556</v>
      </c>
      <c r="AG33" s="573"/>
    </row>
    <row r="34" spans="1:33">
      <c r="A34" s="593" t="s">
        <v>288</v>
      </c>
      <c r="B34" s="39" t="s">
        <v>94</v>
      </c>
      <c r="C34" s="574" t="s">
        <v>101</v>
      </c>
      <c r="D34" s="574"/>
      <c r="E34" s="39">
        <v>25.98</v>
      </c>
      <c r="F34" s="40">
        <v>2713</v>
      </c>
      <c r="G34" s="15">
        <f t="shared" si="27"/>
        <v>70483.740000000005</v>
      </c>
      <c r="H34" s="48" t="s">
        <v>126</v>
      </c>
      <c r="I34" s="17">
        <v>21</v>
      </c>
      <c r="J34" s="43">
        <v>2400</v>
      </c>
      <c r="K34" s="18">
        <f t="shared" si="1"/>
        <v>114.28571428571429</v>
      </c>
      <c r="L34" s="17">
        <v>21</v>
      </c>
      <c r="M34" s="19">
        <f t="shared" si="28"/>
        <v>2292.6760563380285</v>
      </c>
      <c r="N34" s="18">
        <f t="shared" si="3"/>
        <v>109.17505030181088</v>
      </c>
      <c r="O34" s="20">
        <f t="shared" si="4"/>
        <v>0</v>
      </c>
      <c r="P34" s="21">
        <f t="shared" si="5"/>
        <v>-5.1106639839034074</v>
      </c>
      <c r="Q34" s="23">
        <f t="shared" si="6"/>
        <v>0.95528169014084519</v>
      </c>
      <c r="R34" s="573"/>
      <c r="S34" s="49">
        <v>0.34305555555555556</v>
      </c>
      <c r="T34" s="49">
        <v>0.3923611111111111</v>
      </c>
      <c r="U34" s="15">
        <f t="shared" si="30"/>
        <v>4.9999999999999822</v>
      </c>
      <c r="V34" s="24">
        <f t="shared" si="29"/>
        <v>70.999999999999986</v>
      </c>
      <c r="W34" s="15"/>
      <c r="X34" s="15"/>
      <c r="Y34" s="15"/>
      <c r="Z34" s="15"/>
      <c r="AA34" s="575"/>
      <c r="AB34" s="575"/>
      <c r="AC34" s="50"/>
      <c r="AD34" s="27"/>
      <c r="AE34" s="20">
        <f t="shared" si="8"/>
        <v>-107.3239436619715</v>
      </c>
      <c r="AF34" s="23">
        <f t="shared" si="9"/>
        <v>0.95528169014084519</v>
      </c>
      <c r="AG34" s="573"/>
    </row>
    <row r="35" spans="1:33">
      <c r="A35" s="593" t="s">
        <v>58</v>
      </c>
      <c r="B35" s="39" t="s">
        <v>94</v>
      </c>
      <c r="C35" s="574" t="s">
        <v>102</v>
      </c>
      <c r="D35" s="574"/>
      <c r="E35" s="39">
        <v>34.1</v>
      </c>
      <c r="F35" s="40">
        <v>3700</v>
      </c>
      <c r="G35" s="15">
        <f t="shared" si="27"/>
        <v>126170</v>
      </c>
      <c r="H35" s="48">
        <v>2</v>
      </c>
      <c r="I35" s="17">
        <v>17</v>
      </c>
      <c r="J35" s="43">
        <v>1600</v>
      </c>
      <c r="K35" s="18">
        <f t="shared" si="1"/>
        <v>94.117647058823536</v>
      </c>
      <c r="L35" s="17">
        <v>17</v>
      </c>
      <c r="M35" s="19">
        <f t="shared" si="28"/>
        <v>1531.0344827586209</v>
      </c>
      <c r="N35" s="18">
        <f t="shared" si="3"/>
        <v>90.060851926977705</v>
      </c>
      <c r="O35" s="20">
        <f t="shared" si="4"/>
        <v>0</v>
      </c>
      <c r="P35" s="21">
        <f t="shared" si="5"/>
        <v>-4.0567951318458313</v>
      </c>
      <c r="Q35" s="23">
        <f t="shared" si="6"/>
        <v>0.95689655172413801</v>
      </c>
      <c r="R35" s="573"/>
      <c r="S35" s="49">
        <v>0.39652777777777776</v>
      </c>
      <c r="T35" s="49">
        <v>0.49722222222222218</v>
      </c>
      <c r="U35" s="15">
        <f t="shared" si="30"/>
        <v>5.9999999999999787</v>
      </c>
      <c r="V35" s="24">
        <f t="shared" si="29"/>
        <v>144.99999999999997</v>
      </c>
      <c r="W35" s="25"/>
      <c r="X35" s="25"/>
      <c r="Y35" s="25"/>
      <c r="Z35" s="25"/>
      <c r="AA35" s="575"/>
      <c r="AB35" s="575"/>
      <c r="AC35" s="50"/>
      <c r="AD35" s="27"/>
      <c r="AE35" s="20">
        <f t="shared" si="8"/>
        <v>-68.965517241379075</v>
      </c>
      <c r="AF35" s="23">
        <f t="shared" si="9"/>
        <v>0.95689655172413812</v>
      </c>
      <c r="AG35" s="573"/>
    </row>
    <row r="36" spans="1:33">
      <c r="A36" s="593" t="s">
        <v>288</v>
      </c>
      <c r="B36" s="39" t="s">
        <v>94</v>
      </c>
      <c r="C36" s="574" t="s">
        <v>103</v>
      </c>
      <c r="D36" s="574"/>
      <c r="E36" s="39">
        <v>20.2</v>
      </c>
      <c r="F36" s="40">
        <v>1676</v>
      </c>
      <c r="G36" s="15">
        <f t="shared" si="27"/>
        <v>33855.199999999997</v>
      </c>
      <c r="H36" s="48" t="s">
        <v>126</v>
      </c>
      <c r="I36" s="17">
        <v>15</v>
      </c>
      <c r="J36" s="43">
        <v>2400</v>
      </c>
      <c r="K36" s="18">
        <f t="shared" si="1"/>
        <v>160</v>
      </c>
      <c r="L36" s="17">
        <v>15</v>
      </c>
      <c r="M36" s="19">
        <f t="shared" si="28"/>
        <v>2285.4545454545455</v>
      </c>
      <c r="N36" s="18">
        <f t="shared" si="3"/>
        <v>152.36363636363637</v>
      </c>
      <c r="O36" s="20">
        <f t="shared" si="4"/>
        <v>0</v>
      </c>
      <c r="P36" s="21">
        <f t="shared" si="5"/>
        <v>-7.636363636363626</v>
      </c>
      <c r="Q36" s="23">
        <f t="shared" si="6"/>
        <v>0.95227272727272738</v>
      </c>
      <c r="R36" s="573"/>
      <c r="S36" s="49">
        <v>0.50208333333333333</v>
      </c>
      <c r="T36" s="49">
        <v>0.53263888888888888</v>
      </c>
      <c r="U36" s="15">
        <f t="shared" si="30"/>
        <v>7.0000000000000551</v>
      </c>
      <c r="V36" s="24">
        <f t="shared" si="29"/>
        <v>44</v>
      </c>
      <c r="W36" s="25">
        <f>T36</f>
        <v>0.53263888888888888</v>
      </c>
      <c r="X36" s="25">
        <f>S37</f>
        <v>0.57152777777777775</v>
      </c>
      <c r="Y36" s="25"/>
      <c r="Z36" s="25"/>
      <c r="AA36" s="575"/>
      <c r="AB36" s="575"/>
      <c r="AC36" s="50"/>
      <c r="AD36" s="27"/>
      <c r="AE36" s="20">
        <f t="shared" si="8"/>
        <v>-114.5454545454545</v>
      </c>
      <c r="AF36" s="23">
        <f t="shared" si="9"/>
        <v>0.95227272727272727</v>
      </c>
      <c r="AG36" s="573"/>
    </row>
    <row r="37" spans="1:33">
      <c r="A37" s="593" t="s">
        <v>288</v>
      </c>
      <c r="B37" s="39" t="s">
        <v>94</v>
      </c>
      <c r="C37" s="574" t="s">
        <v>102</v>
      </c>
      <c r="D37" s="574"/>
      <c r="E37" s="39">
        <v>34.1</v>
      </c>
      <c r="F37" s="40">
        <v>4656</v>
      </c>
      <c r="G37" s="15">
        <f t="shared" si="27"/>
        <v>158769.60000000001</v>
      </c>
      <c r="H37" s="48" t="s">
        <v>126</v>
      </c>
      <c r="I37" s="17">
        <v>17</v>
      </c>
      <c r="J37" s="43">
        <v>1600</v>
      </c>
      <c r="K37" s="18">
        <f t="shared" si="1"/>
        <v>94.117647058823536</v>
      </c>
      <c r="L37" s="17">
        <v>17</v>
      </c>
      <c r="M37" s="19">
        <f t="shared" si="28"/>
        <v>1526.5573770491803</v>
      </c>
      <c r="N37" s="18">
        <f t="shared" si="3"/>
        <v>89.79749276759884</v>
      </c>
      <c r="O37" s="20">
        <f t="shared" si="4"/>
        <v>0</v>
      </c>
      <c r="P37" s="21">
        <f t="shared" si="5"/>
        <v>-4.3201542912246964</v>
      </c>
      <c r="Q37" s="23">
        <f t="shared" si="6"/>
        <v>0.95409836065573761</v>
      </c>
      <c r="R37" s="573"/>
      <c r="S37" s="49">
        <v>0.57152777777777775</v>
      </c>
      <c r="T37" s="49">
        <v>0.69861111111111107</v>
      </c>
      <c r="U37" s="15">
        <f t="shared" si="30"/>
        <v>55.999999999999957</v>
      </c>
      <c r="V37" s="24">
        <f t="shared" si="29"/>
        <v>183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8"/>
        <v>-73.442622950819668</v>
      </c>
      <c r="AF37" s="23">
        <f t="shared" si="9"/>
        <v>0.95409836065573772</v>
      </c>
      <c r="AG37" s="573"/>
    </row>
    <row r="38" spans="1:33">
      <c r="A38" s="593" t="s">
        <v>288</v>
      </c>
      <c r="B38" s="42" t="s">
        <v>289</v>
      </c>
      <c r="C38" s="576"/>
      <c r="D38" s="576"/>
      <c r="E38" s="41"/>
      <c r="F38" s="42"/>
      <c r="G38" s="18"/>
      <c r="H38" s="40"/>
      <c r="I38" s="32">
        <v>17</v>
      </c>
      <c r="J38" s="43">
        <v>2133.3333333333335</v>
      </c>
      <c r="K38" s="18">
        <f t="shared" si="1"/>
        <v>125.49019607843138</v>
      </c>
      <c r="L38" s="32">
        <v>17</v>
      </c>
      <c r="M38" s="19">
        <f>AVERAGE(M32:M37)</f>
        <v>2035.4632381853173</v>
      </c>
      <c r="N38" s="18">
        <f t="shared" si="3"/>
        <v>119.73313165795985</v>
      </c>
      <c r="O38" s="20">
        <f t="shared" si="4"/>
        <v>0</v>
      </c>
      <c r="P38" s="21">
        <f t="shared" si="5"/>
        <v>-5.7570644204715364</v>
      </c>
      <c r="Q38" s="23">
        <f t="shared" si="6"/>
        <v>0.95412339289936743</v>
      </c>
      <c r="R38" s="573"/>
      <c r="S38" s="49"/>
      <c r="T38" s="49"/>
      <c r="U38" s="18"/>
      <c r="V38" s="24"/>
      <c r="W38" s="18"/>
      <c r="X38" s="18"/>
      <c r="Y38" s="33">
        <f>SUM(Y32:Y37)</f>
        <v>0</v>
      </c>
      <c r="Z38" s="33">
        <f>SUM(Z32:Z37)</f>
        <v>0</v>
      </c>
      <c r="AA38" s="572"/>
      <c r="AB38" s="572"/>
      <c r="AC38" s="33">
        <v>6</v>
      </c>
      <c r="AD38" s="33">
        <f>SUM(AD32:AD37)</f>
        <v>0</v>
      </c>
      <c r="AE38" s="20">
        <f t="shared" si="8"/>
        <v>-97.870095148016162</v>
      </c>
      <c r="AF38" s="23">
        <f t="shared" si="9"/>
        <v>0.95412339289936743</v>
      </c>
      <c r="AG38" s="573"/>
    </row>
    <row r="39" spans="1:33" ht="15.75" customHeight="1">
      <c r="A39" s="589" t="s">
        <v>61</v>
      </c>
      <c r="B39" s="39" t="s">
        <v>104</v>
      </c>
      <c r="C39" s="566" t="s">
        <v>105</v>
      </c>
      <c r="D39" s="567"/>
      <c r="E39" s="39">
        <v>37.880000000000003</v>
      </c>
      <c r="F39" s="40">
        <v>4220</v>
      </c>
      <c r="G39" s="15">
        <f t="shared" ref="G39:G42" si="31">E39*F39</f>
        <v>159853.6</v>
      </c>
      <c r="H39" s="48" t="s">
        <v>126</v>
      </c>
      <c r="I39" s="17">
        <v>13</v>
      </c>
      <c r="J39" s="43">
        <v>2000</v>
      </c>
      <c r="K39" s="18">
        <f t="shared" si="1"/>
        <v>153.84615384615384</v>
      </c>
      <c r="L39" s="17">
        <v>13</v>
      </c>
      <c r="M39" s="19">
        <f t="shared" ref="M39:M42" si="32">F39/V39*60</f>
        <v>1918.1818181818185</v>
      </c>
      <c r="N39" s="19">
        <f t="shared" si="3"/>
        <v>147.55244755244757</v>
      </c>
      <c r="O39" s="20">
        <f t="shared" si="4"/>
        <v>0</v>
      </c>
      <c r="P39" s="21">
        <f t="shared" si="5"/>
        <v>-6.2937062937062649</v>
      </c>
      <c r="Q39" s="23">
        <f t="shared" si="6"/>
        <v>0.95909090909090933</v>
      </c>
      <c r="R39" s="584">
        <f>Q43</f>
        <v>0.95867545905084184</v>
      </c>
      <c r="S39" s="49">
        <v>8.3333333333333329E-2</v>
      </c>
      <c r="T39" s="49">
        <v>0.17499999999999999</v>
      </c>
      <c r="U39" s="30"/>
      <c r="V39" s="24">
        <f t="shared" ref="V39:V42" si="33">(T39-S39)*24*60</f>
        <v>131.99999999999997</v>
      </c>
      <c r="W39" s="25">
        <f>T39</f>
        <v>0.17499999999999999</v>
      </c>
      <c r="X39" s="25">
        <f>S40</f>
        <v>0.19444444444444445</v>
      </c>
      <c r="Y39" s="28"/>
      <c r="Z39" s="28"/>
      <c r="AA39" s="568"/>
      <c r="AB39" s="569"/>
      <c r="AC39" s="50">
        <v>4</v>
      </c>
      <c r="AD39" s="27"/>
      <c r="AE39" s="20">
        <f t="shared" si="8"/>
        <v>-81.818181818181529</v>
      </c>
      <c r="AF39" s="23">
        <f t="shared" si="9"/>
        <v>0.95909090909090922</v>
      </c>
      <c r="AG39" s="584">
        <f>AF43</f>
        <v>0.95867545905084195</v>
      </c>
    </row>
    <row r="40" spans="1:33" ht="15.75" customHeight="1">
      <c r="A40" s="590" t="s">
        <v>290</v>
      </c>
      <c r="B40" s="39" t="s">
        <v>104</v>
      </c>
      <c r="C40" s="566" t="s">
        <v>106</v>
      </c>
      <c r="D40" s="567"/>
      <c r="E40" s="39">
        <v>35.119999999999997</v>
      </c>
      <c r="F40" s="40">
        <v>4273</v>
      </c>
      <c r="G40" s="15">
        <f t="shared" si="31"/>
        <v>150067.75999999998</v>
      </c>
      <c r="H40" s="48" t="s">
        <v>126</v>
      </c>
      <c r="I40" s="17">
        <v>10</v>
      </c>
      <c r="J40" s="43">
        <v>3000</v>
      </c>
      <c r="K40" s="18">
        <f t="shared" si="1"/>
        <v>300</v>
      </c>
      <c r="L40" s="17">
        <v>10</v>
      </c>
      <c r="M40" s="19">
        <f t="shared" si="32"/>
        <v>2880.6741573033719</v>
      </c>
      <c r="N40" s="19">
        <f t="shared" si="3"/>
        <v>288.06741573033719</v>
      </c>
      <c r="O40" s="20">
        <f t="shared" si="4"/>
        <v>0</v>
      </c>
      <c r="P40" s="21">
        <f t="shared" si="5"/>
        <v>-11.932584269662811</v>
      </c>
      <c r="Q40" s="23">
        <f t="shared" si="6"/>
        <v>0.96022471910112395</v>
      </c>
      <c r="R40" s="585"/>
      <c r="S40" s="49">
        <v>0.19444444444444445</v>
      </c>
      <c r="T40" s="49">
        <v>0.25624999999999998</v>
      </c>
      <c r="U40" s="15">
        <f t="shared" ref="U40:U42" si="34">(S40-T39)*24*60</f>
        <v>28.000000000000021</v>
      </c>
      <c r="V40" s="24">
        <f t="shared" si="33"/>
        <v>88.999999999999957</v>
      </c>
      <c r="W40" s="25"/>
      <c r="X40" s="25"/>
      <c r="Y40" s="28"/>
      <c r="Z40" s="28"/>
      <c r="AA40" s="568"/>
      <c r="AB40" s="569"/>
      <c r="AC40" s="50"/>
      <c r="AD40" s="27"/>
      <c r="AE40" s="20">
        <f t="shared" si="8"/>
        <v>-119.32584269662811</v>
      </c>
      <c r="AF40" s="23">
        <f t="shared" si="9"/>
        <v>0.96022471910112395</v>
      </c>
      <c r="AG40" s="585"/>
    </row>
    <row r="41" spans="1:33" ht="15.75" customHeight="1">
      <c r="A41" s="590" t="s">
        <v>61</v>
      </c>
      <c r="B41" s="39" t="s">
        <v>104</v>
      </c>
      <c r="C41" s="566" t="s">
        <v>107</v>
      </c>
      <c r="D41" s="567"/>
      <c r="E41" s="39">
        <v>21.13</v>
      </c>
      <c r="F41" s="40">
        <v>3880</v>
      </c>
      <c r="G41" s="15">
        <f t="shared" si="31"/>
        <v>81984.399999999994</v>
      </c>
      <c r="H41" s="48" t="s">
        <v>126</v>
      </c>
      <c r="I41" s="17">
        <v>10</v>
      </c>
      <c r="J41" s="43">
        <v>3000</v>
      </c>
      <c r="K41" s="18">
        <f t="shared" si="1"/>
        <v>300</v>
      </c>
      <c r="L41" s="17">
        <v>10</v>
      </c>
      <c r="M41" s="19">
        <f t="shared" si="32"/>
        <v>2874.074074074073</v>
      </c>
      <c r="N41" s="19">
        <f t="shared" si="3"/>
        <v>287.40740740740728</v>
      </c>
      <c r="O41" s="20">
        <f t="shared" si="4"/>
        <v>0</v>
      </c>
      <c r="P41" s="21">
        <f t="shared" si="5"/>
        <v>-12.592592592592723</v>
      </c>
      <c r="Q41" s="23">
        <f t="shared" si="6"/>
        <v>0.95802469135802426</v>
      </c>
      <c r="R41" s="585"/>
      <c r="S41" s="49">
        <v>0.26041666666666663</v>
      </c>
      <c r="T41" s="49">
        <v>0.31666666666666665</v>
      </c>
      <c r="U41" s="15">
        <f t="shared" si="34"/>
        <v>5.9999999999999787</v>
      </c>
      <c r="V41" s="24">
        <f t="shared" si="33"/>
        <v>81.000000000000028</v>
      </c>
      <c r="W41" s="25"/>
      <c r="X41" s="25"/>
      <c r="Y41" s="28"/>
      <c r="Z41" s="28"/>
      <c r="AA41" s="568"/>
      <c r="AB41" s="569"/>
      <c r="AC41" s="50"/>
      <c r="AD41" s="27"/>
      <c r="AE41" s="20">
        <f t="shared" si="8"/>
        <v>-125.925925925927</v>
      </c>
      <c r="AF41" s="23">
        <f t="shared" si="9"/>
        <v>0.95802469135802437</v>
      </c>
      <c r="AG41" s="585"/>
    </row>
    <row r="42" spans="1:33" ht="15.75" customHeight="1">
      <c r="A42" s="590" t="s">
        <v>290</v>
      </c>
      <c r="B42" s="39" t="s">
        <v>104</v>
      </c>
      <c r="C42" s="566" t="s">
        <v>108</v>
      </c>
      <c r="D42" s="567"/>
      <c r="E42" s="39">
        <v>27.17</v>
      </c>
      <c r="F42" s="40">
        <v>4979</v>
      </c>
      <c r="G42" s="15">
        <f t="shared" si="31"/>
        <v>135279.43000000002</v>
      </c>
      <c r="H42" s="48" t="s">
        <v>126</v>
      </c>
      <c r="I42" s="17">
        <v>10</v>
      </c>
      <c r="J42" s="43">
        <v>3000</v>
      </c>
      <c r="K42" s="18">
        <f t="shared" si="1"/>
        <v>300</v>
      </c>
      <c r="L42" s="17">
        <v>10</v>
      </c>
      <c r="M42" s="19">
        <f t="shared" si="32"/>
        <v>2872.4999999999991</v>
      </c>
      <c r="N42" s="19">
        <f t="shared" si="3"/>
        <v>287.24999999999989</v>
      </c>
      <c r="O42" s="20">
        <f t="shared" si="4"/>
        <v>0</v>
      </c>
      <c r="P42" s="21">
        <f t="shared" si="5"/>
        <v>-12.750000000000114</v>
      </c>
      <c r="Q42" s="23">
        <f t="shared" si="6"/>
        <v>0.95749999999999957</v>
      </c>
      <c r="R42" s="585"/>
      <c r="S42" s="49">
        <v>0.32013888888888886</v>
      </c>
      <c r="T42" s="49">
        <v>0.3923611111111111</v>
      </c>
      <c r="U42" s="15">
        <f t="shared" si="34"/>
        <v>4.9999999999999822</v>
      </c>
      <c r="V42" s="24">
        <f t="shared" si="33"/>
        <v>104.00000000000003</v>
      </c>
      <c r="W42" s="25"/>
      <c r="X42" s="25"/>
      <c r="Y42" s="28"/>
      <c r="Z42" s="28"/>
      <c r="AA42" s="568"/>
      <c r="AB42" s="569"/>
      <c r="AC42" s="50"/>
      <c r="AD42" s="27"/>
      <c r="AE42" s="20">
        <f t="shared" si="8"/>
        <v>-127.50000000000091</v>
      </c>
      <c r="AF42" s="23">
        <f t="shared" si="9"/>
        <v>0.95749999999999968</v>
      </c>
      <c r="AG42" s="585"/>
    </row>
    <row r="43" spans="1:33" ht="15.75" customHeight="1">
      <c r="A43" s="591" t="s">
        <v>61</v>
      </c>
      <c r="B43" s="39" t="s">
        <v>46</v>
      </c>
      <c r="C43" s="570"/>
      <c r="D43" s="571"/>
      <c r="E43" s="44"/>
      <c r="F43" s="40"/>
      <c r="G43" s="15"/>
      <c r="H43" s="40"/>
      <c r="I43" s="32">
        <v>10.75</v>
      </c>
      <c r="J43" s="43">
        <v>2750</v>
      </c>
      <c r="K43" s="18">
        <f t="shared" si="1"/>
        <v>255.81395348837211</v>
      </c>
      <c r="L43" s="32">
        <v>10.75</v>
      </c>
      <c r="M43" s="19">
        <f>AVERAGE(M39:M42)</f>
        <v>2636.3575123898154</v>
      </c>
      <c r="N43" s="18">
        <f t="shared" si="3"/>
        <v>245.24255929207584</v>
      </c>
      <c r="O43" s="20">
        <f t="shared" si="4"/>
        <v>0</v>
      </c>
      <c r="P43" s="21">
        <f t="shared" si="5"/>
        <v>-10.571394196296268</v>
      </c>
      <c r="Q43" s="23">
        <f t="shared" si="6"/>
        <v>0.95867545905084184</v>
      </c>
      <c r="R43" s="586"/>
      <c r="S43" s="49"/>
      <c r="T43" s="49"/>
      <c r="U43" s="15"/>
      <c r="V43" s="24"/>
      <c r="W43" s="25"/>
      <c r="X43" s="25"/>
      <c r="Y43" s="33">
        <f>SUM(Y39:Y42)</f>
        <v>0</v>
      </c>
      <c r="Z43" s="33">
        <f>SUM(Z39:Z42)</f>
        <v>0</v>
      </c>
      <c r="AA43" s="587"/>
      <c r="AB43" s="588"/>
      <c r="AC43" s="33">
        <v>4</v>
      </c>
      <c r="AD43" s="33">
        <f>SUM(AD39:AD42)</f>
        <v>0</v>
      </c>
      <c r="AE43" s="20">
        <f t="shared" si="8"/>
        <v>-113.64248761018462</v>
      </c>
      <c r="AF43" s="23">
        <f t="shared" si="9"/>
        <v>0.95867545905084195</v>
      </c>
      <c r="AG43" s="586"/>
    </row>
    <row r="44" spans="1:33" ht="15.75" customHeight="1">
      <c r="A44" s="582" t="s">
        <v>63</v>
      </c>
      <c r="B44" s="39" t="s">
        <v>79</v>
      </c>
      <c r="C44" s="574" t="s">
        <v>109</v>
      </c>
      <c r="D44" s="574"/>
      <c r="E44" s="39">
        <v>46</v>
      </c>
      <c r="F44" s="45">
        <v>2031</v>
      </c>
      <c r="G44" s="15">
        <f t="shared" ref="G44:G49" si="35">E44*F44</f>
        <v>93426</v>
      </c>
      <c r="H44" s="48" t="s">
        <v>126</v>
      </c>
      <c r="I44" s="17">
        <v>17</v>
      </c>
      <c r="J44" s="43">
        <v>2000</v>
      </c>
      <c r="K44" s="18">
        <f t="shared" si="1"/>
        <v>117.64705882352941</v>
      </c>
      <c r="L44" s="17">
        <v>17</v>
      </c>
      <c r="M44" s="19">
        <f t="shared" ref="M44" si="36">F44/V44*60</f>
        <v>1904.0625000000009</v>
      </c>
      <c r="N44" s="19">
        <f t="shared" si="3"/>
        <v>112.00367647058829</v>
      </c>
      <c r="O44" s="20">
        <f t="shared" si="4"/>
        <v>0</v>
      </c>
      <c r="P44" s="21">
        <f t="shared" si="5"/>
        <v>-5.6433823529411171</v>
      </c>
      <c r="Q44" s="23">
        <f t="shared" si="6"/>
        <v>0.95203125000000055</v>
      </c>
      <c r="R44" s="573">
        <f>Q50</f>
        <v>0.96522194404604122</v>
      </c>
      <c r="S44" s="49">
        <v>0.20833333333333334</v>
      </c>
      <c r="T44" s="49">
        <v>0.25277777777777777</v>
      </c>
      <c r="U44" s="30"/>
      <c r="V44" s="24">
        <f t="shared" ref="V44:V49" si="37">(T44-S44)*24*60</f>
        <v>63.999999999999972</v>
      </c>
      <c r="W44" s="30"/>
      <c r="X44" s="30"/>
      <c r="Y44" s="30"/>
      <c r="Z44" s="30"/>
      <c r="AA44" s="575"/>
      <c r="AB44" s="575"/>
      <c r="AC44" s="50">
        <v>6</v>
      </c>
      <c r="AD44" s="27"/>
      <c r="AE44" s="20">
        <f t="shared" si="8"/>
        <v>-95.937499999999091</v>
      </c>
      <c r="AF44" s="23">
        <f t="shared" si="9"/>
        <v>0.95203125000000044</v>
      </c>
      <c r="AG44" s="573">
        <f>AF50</f>
        <v>0.96522194404604122</v>
      </c>
    </row>
    <row r="45" spans="1:33" ht="15.75" customHeight="1">
      <c r="A45" s="582" t="s">
        <v>291</v>
      </c>
      <c r="B45" s="39" t="s">
        <v>74</v>
      </c>
      <c r="C45" s="574" t="s">
        <v>110</v>
      </c>
      <c r="D45" s="574"/>
      <c r="E45" s="39">
        <v>56.43</v>
      </c>
      <c r="F45" s="45">
        <v>1318</v>
      </c>
      <c r="G45" s="15">
        <f t="shared" si="35"/>
        <v>74374.740000000005</v>
      </c>
      <c r="H45" s="48" t="s">
        <v>126</v>
      </c>
      <c r="I45" s="17">
        <v>22</v>
      </c>
      <c r="J45" s="43">
        <v>2000</v>
      </c>
      <c r="K45" s="18">
        <f t="shared" si="1"/>
        <v>90.909090909090907</v>
      </c>
      <c r="L45" s="17">
        <v>22</v>
      </c>
      <c r="M45" s="19">
        <f>F45/V45*60</f>
        <v>1928.7804878048773</v>
      </c>
      <c r="N45" s="19">
        <f t="shared" si="3"/>
        <v>87.671840354767156</v>
      </c>
      <c r="O45" s="20">
        <f t="shared" si="4"/>
        <v>0</v>
      </c>
      <c r="P45" s="21">
        <f t="shared" si="5"/>
        <v>-3.2372505543237509</v>
      </c>
      <c r="Q45" s="23">
        <f t="shared" si="6"/>
        <v>0.96439024390243877</v>
      </c>
      <c r="R45" s="573"/>
      <c r="S45" s="49">
        <v>0.25763888888888886</v>
      </c>
      <c r="T45" s="49">
        <v>0.28611111111111109</v>
      </c>
      <c r="U45" s="15">
        <f t="shared" ref="U45:U49" si="38">IF(S45=TIME(17,0,0),"",(S45-T44)*24*60)</f>
        <v>6.9999999999999751</v>
      </c>
      <c r="V45" s="24">
        <f t="shared" si="37"/>
        <v>41.000000000000014</v>
      </c>
      <c r="W45" s="25"/>
      <c r="X45" s="25"/>
      <c r="Y45" s="25"/>
      <c r="Z45" s="25"/>
      <c r="AA45" s="575"/>
      <c r="AB45" s="575"/>
      <c r="AC45" s="50"/>
      <c r="AD45" s="27"/>
      <c r="AE45" s="20">
        <f t="shared" si="8"/>
        <v>-71.219512195122661</v>
      </c>
      <c r="AF45" s="23">
        <f t="shared" si="9"/>
        <v>0.96439024390243866</v>
      </c>
      <c r="AG45" s="573"/>
    </row>
    <row r="46" spans="1:33" ht="15.75" customHeight="1">
      <c r="A46" s="582" t="s">
        <v>291</v>
      </c>
      <c r="B46" s="39" t="s">
        <v>74</v>
      </c>
      <c r="C46" s="566" t="s">
        <v>111</v>
      </c>
      <c r="D46" s="567"/>
      <c r="E46" s="39">
        <v>51.75</v>
      </c>
      <c r="F46" s="45">
        <v>876</v>
      </c>
      <c r="G46" s="15">
        <f t="shared" si="35"/>
        <v>45333</v>
      </c>
      <c r="H46" s="48" t="s">
        <v>126</v>
      </c>
      <c r="I46" s="17">
        <v>25</v>
      </c>
      <c r="J46" s="43">
        <v>2000</v>
      </c>
      <c r="K46" s="18">
        <f t="shared" si="1"/>
        <v>80</v>
      </c>
      <c r="L46" s="17">
        <v>25</v>
      </c>
      <c r="M46" s="19">
        <f t="shared" ref="M46:M49" si="39">F46/V46*60</f>
        <v>1946.6666666666679</v>
      </c>
      <c r="N46" s="19">
        <f t="shared" si="3"/>
        <v>77.866666666666717</v>
      </c>
      <c r="O46" s="20">
        <f t="shared" si="4"/>
        <v>0</v>
      </c>
      <c r="P46" s="21">
        <f t="shared" si="5"/>
        <v>-2.1333333333332831</v>
      </c>
      <c r="Q46" s="23">
        <f t="shared" si="6"/>
        <v>0.97333333333333394</v>
      </c>
      <c r="R46" s="573"/>
      <c r="S46" s="49">
        <v>0.2895833333333333</v>
      </c>
      <c r="T46" s="49">
        <v>0.30833333333333329</v>
      </c>
      <c r="U46" s="15">
        <f t="shared" si="38"/>
        <v>4.9999999999999822</v>
      </c>
      <c r="V46" s="24">
        <f t="shared" si="37"/>
        <v>26.999999999999986</v>
      </c>
      <c r="W46" s="25"/>
      <c r="X46" s="25"/>
      <c r="Y46" s="28"/>
      <c r="Z46" s="28"/>
      <c r="AA46" s="575"/>
      <c r="AB46" s="575"/>
      <c r="AC46" s="50"/>
      <c r="AD46" s="27"/>
      <c r="AE46" s="20">
        <f t="shared" si="8"/>
        <v>-53.333333333332121</v>
      </c>
      <c r="AF46" s="23">
        <f t="shared" si="9"/>
        <v>0.97333333333333394</v>
      </c>
      <c r="AG46" s="573"/>
    </row>
    <row r="47" spans="1:33" ht="15.75" customHeight="1">
      <c r="A47" s="582" t="s">
        <v>63</v>
      </c>
      <c r="B47" s="39" t="s">
        <v>74</v>
      </c>
      <c r="C47" s="46" t="s">
        <v>112</v>
      </c>
      <c r="D47" s="47"/>
      <c r="E47" s="39">
        <v>55.32</v>
      </c>
      <c r="F47" s="45">
        <v>1378</v>
      </c>
      <c r="G47" s="15">
        <f t="shared" si="35"/>
        <v>76230.960000000006</v>
      </c>
      <c r="H47" s="48" t="s">
        <v>126</v>
      </c>
      <c r="I47" s="17">
        <v>15</v>
      </c>
      <c r="J47" s="43">
        <v>2000</v>
      </c>
      <c r="K47" s="18">
        <f t="shared" si="1"/>
        <v>133.33333333333334</v>
      </c>
      <c r="L47" s="17">
        <v>15</v>
      </c>
      <c r="M47" s="19">
        <f t="shared" si="39"/>
        <v>1922.7906976744184</v>
      </c>
      <c r="N47" s="19">
        <f t="shared" si="3"/>
        <v>128.18604651162789</v>
      </c>
      <c r="O47" s="20">
        <f t="shared" si="4"/>
        <v>0</v>
      </c>
      <c r="P47" s="21">
        <f t="shared" si="5"/>
        <v>-5.1472868217054497</v>
      </c>
      <c r="Q47" s="23">
        <f t="shared" si="6"/>
        <v>0.96139534883720912</v>
      </c>
      <c r="R47" s="573"/>
      <c r="S47" s="49">
        <v>0.70833333333333337</v>
      </c>
      <c r="T47" s="49">
        <v>0.73819444444444449</v>
      </c>
      <c r="U47" s="15" t="str">
        <f t="shared" si="38"/>
        <v/>
      </c>
      <c r="V47" s="24">
        <f t="shared" si="37"/>
        <v>43.000000000000007</v>
      </c>
      <c r="W47" s="25"/>
      <c r="X47" s="25"/>
      <c r="Y47" s="28"/>
      <c r="Z47" s="28"/>
      <c r="AA47" s="575"/>
      <c r="AB47" s="575"/>
      <c r="AC47" s="50"/>
      <c r="AD47" s="27"/>
      <c r="AE47" s="20">
        <f t="shared" si="8"/>
        <v>-77.209302325581575</v>
      </c>
      <c r="AF47" s="23">
        <f t="shared" si="9"/>
        <v>0.96139534883720923</v>
      </c>
      <c r="AG47" s="573"/>
    </row>
    <row r="48" spans="1:33" ht="15.75" customHeight="1">
      <c r="A48" s="582" t="s">
        <v>291</v>
      </c>
      <c r="B48" s="39" t="s">
        <v>74</v>
      </c>
      <c r="C48" s="46" t="s">
        <v>113</v>
      </c>
      <c r="D48" s="47"/>
      <c r="E48" s="39">
        <v>55.56</v>
      </c>
      <c r="F48" s="45">
        <v>1825</v>
      </c>
      <c r="G48" s="15">
        <f t="shared" si="35"/>
        <v>101397</v>
      </c>
      <c r="H48" s="48" t="s">
        <v>126</v>
      </c>
      <c r="I48" s="17">
        <v>17</v>
      </c>
      <c r="J48" s="43">
        <v>2000</v>
      </c>
      <c r="K48" s="18">
        <f t="shared" si="1"/>
        <v>117.64705882352941</v>
      </c>
      <c r="L48" s="17">
        <v>17</v>
      </c>
      <c r="M48" s="19">
        <f t="shared" si="39"/>
        <v>1921.0526315789486</v>
      </c>
      <c r="N48" s="19">
        <f t="shared" si="3"/>
        <v>113.00309597523227</v>
      </c>
      <c r="O48" s="20">
        <f t="shared" si="4"/>
        <v>0</v>
      </c>
      <c r="P48" s="21">
        <f t="shared" si="5"/>
        <v>-4.6439628482971358</v>
      </c>
      <c r="Q48" s="23">
        <f t="shared" si="6"/>
        <v>0.96052631578947434</v>
      </c>
      <c r="R48" s="573"/>
      <c r="S48" s="49">
        <v>0.74236111111111114</v>
      </c>
      <c r="T48" s="49">
        <v>0.78194444444444444</v>
      </c>
      <c r="U48" s="15">
        <f t="shared" si="38"/>
        <v>5.9999999999999787</v>
      </c>
      <c r="V48" s="24">
        <f t="shared" si="37"/>
        <v>56.999999999999957</v>
      </c>
      <c r="W48" s="25"/>
      <c r="X48" s="25"/>
      <c r="Y48" s="28"/>
      <c r="Z48" s="28"/>
      <c r="AA48" s="575"/>
      <c r="AB48" s="575"/>
      <c r="AC48" s="50"/>
      <c r="AD48" s="27"/>
      <c r="AE48" s="20">
        <f t="shared" si="8"/>
        <v>-78.947368421051351</v>
      </c>
      <c r="AF48" s="23">
        <f t="shared" si="9"/>
        <v>0.96052631578947434</v>
      </c>
      <c r="AG48" s="573"/>
    </row>
    <row r="49" spans="1:33" ht="15.75" customHeight="1">
      <c r="A49" s="582" t="s">
        <v>291</v>
      </c>
      <c r="B49" s="39" t="s">
        <v>74</v>
      </c>
      <c r="C49" s="566" t="s">
        <v>114</v>
      </c>
      <c r="D49" s="567"/>
      <c r="E49" s="39">
        <v>54.29</v>
      </c>
      <c r="F49" s="45">
        <v>947</v>
      </c>
      <c r="G49" s="15">
        <f t="shared" si="35"/>
        <v>51412.63</v>
      </c>
      <c r="H49" s="48" t="s">
        <v>126</v>
      </c>
      <c r="I49" s="17">
        <v>20</v>
      </c>
      <c r="J49" s="43">
        <v>2000</v>
      </c>
      <c r="K49" s="18">
        <f t="shared" si="1"/>
        <v>100</v>
      </c>
      <c r="L49" s="17">
        <v>20</v>
      </c>
      <c r="M49" s="19">
        <f t="shared" si="39"/>
        <v>1959.3103448275824</v>
      </c>
      <c r="N49" s="19">
        <f t="shared" si="3"/>
        <v>97.965517241379118</v>
      </c>
      <c r="O49" s="20">
        <f t="shared" si="4"/>
        <v>0</v>
      </c>
      <c r="P49" s="21">
        <f t="shared" si="5"/>
        <v>-2.0344827586208822</v>
      </c>
      <c r="Q49" s="23">
        <f t="shared" si="6"/>
        <v>0.97965517241379119</v>
      </c>
      <c r="R49" s="573"/>
      <c r="S49" s="49">
        <v>0.78680555555555554</v>
      </c>
      <c r="T49" s="49">
        <v>0.80694444444444446</v>
      </c>
      <c r="U49" s="15">
        <f t="shared" si="38"/>
        <v>6.9999999999999751</v>
      </c>
      <c r="V49" s="24">
        <f t="shared" si="37"/>
        <v>29.000000000000057</v>
      </c>
      <c r="W49" s="25"/>
      <c r="X49" s="25"/>
      <c r="Y49" s="28"/>
      <c r="Z49" s="28"/>
      <c r="AA49" s="568"/>
      <c r="AB49" s="569"/>
      <c r="AC49" s="50"/>
      <c r="AD49" s="27"/>
      <c r="AE49" s="20">
        <f t="shared" si="8"/>
        <v>-40.689655172417588</v>
      </c>
      <c r="AF49" s="23">
        <f t="shared" si="9"/>
        <v>0.97965517241379119</v>
      </c>
      <c r="AG49" s="573"/>
    </row>
    <row r="50" spans="1:33">
      <c r="A50" s="583" t="s">
        <v>291</v>
      </c>
      <c r="B50" s="39" t="s">
        <v>46</v>
      </c>
      <c r="C50" s="576"/>
      <c r="D50" s="576"/>
      <c r="E50" s="41"/>
      <c r="F50" s="42"/>
      <c r="G50" s="18"/>
      <c r="H50" s="40"/>
      <c r="I50" s="32">
        <v>19.333333333333332</v>
      </c>
      <c r="J50" s="43">
        <v>2000</v>
      </c>
      <c r="K50" s="18">
        <f t="shared" si="1"/>
        <v>103.44827586206897</v>
      </c>
      <c r="L50" s="32">
        <v>19.333333333333332</v>
      </c>
      <c r="M50" s="19">
        <f>AVERAGE(M44:M49)</f>
        <v>1930.4438880920825</v>
      </c>
      <c r="N50" s="18">
        <f t="shared" si="3"/>
        <v>99.850545935797371</v>
      </c>
      <c r="O50" s="20">
        <f t="shared" si="4"/>
        <v>0</v>
      </c>
      <c r="P50" s="21">
        <f t="shared" si="5"/>
        <v>-3.5977299262715974</v>
      </c>
      <c r="Q50" s="23">
        <f t="shared" si="6"/>
        <v>0.96522194404604122</v>
      </c>
      <c r="R50" s="573"/>
      <c r="S50" s="49"/>
      <c r="T50" s="49"/>
      <c r="U50" s="15"/>
      <c r="V50" s="24"/>
      <c r="W50" s="18"/>
      <c r="X50" s="18"/>
      <c r="Y50" s="33">
        <f>SUM(Y44:Y49)</f>
        <v>0</v>
      </c>
      <c r="Z50" s="33">
        <f>SUM(Z44:Z49)</f>
        <v>0</v>
      </c>
      <c r="AA50" s="572"/>
      <c r="AB50" s="572"/>
      <c r="AC50" s="33">
        <v>6</v>
      </c>
      <c r="AD50" s="33">
        <f>SUM(AD44:AD49)</f>
        <v>0</v>
      </c>
      <c r="AE50" s="20">
        <f>M50-J50</f>
        <v>-69.556111907917511</v>
      </c>
      <c r="AF50" s="23">
        <f t="shared" si="9"/>
        <v>0.96522194404604122</v>
      </c>
      <c r="AG50" s="573"/>
    </row>
    <row r="51" spans="1:33" ht="15.75" customHeight="1">
      <c r="A51" s="580" t="s">
        <v>67</v>
      </c>
      <c r="B51" s="40" t="s">
        <v>104</v>
      </c>
      <c r="C51" s="574" t="s">
        <v>115</v>
      </c>
      <c r="D51" s="574"/>
      <c r="E51" s="39">
        <v>34.36</v>
      </c>
      <c r="F51" s="45">
        <v>1887</v>
      </c>
      <c r="G51" s="15">
        <f t="shared" ref="G51:G56" si="40">E51*F51</f>
        <v>64837.32</v>
      </c>
      <c r="H51" s="48" t="s">
        <v>126</v>
      </c>
      <c r="I51" s="17">
        <v>10</v>
      </c>
      <c r="J51" s="43">
        <v>3000</v>
      </c>
      <c r="K51" s="18">
        <f t="shared" si="1"/>
        <v>300</v>
      </c>
      <c r="L51" s="17">
        <v>10</v>
      </c>
      <c r="M51" s="19">
        <f t="shared" ref="M51:M56" si="41">F51/V51*60</f>
        <v>2903.0769230769247</v>
      </c>
      <c r="N51" s="18">
        <f t="shared" si="3"/>
        <v>290.30769230769249</v>
      </c>
      <c r="O51" s="20">
        <f t="shared" si="4"/>
        <v>0</v>
      </c>
      <c r="P51" s="21">
        <f t="shared" si="5"/>
        <v>-9.6923076923075087</v>
      </c>
      <c r="Q51" s="23">
        <f t="shared" si="6"/>
        <v>0.9676923076923083</v>
      </c>
      <c r="R51" s="573">
        <f>Q57</f>
        <v>0.96375612074702055</v>
      </c>
      <c r="S51" s="49">
        <v>0.20833333333333334</v>
      </c>
      <c r="T51" s="49">
        <v>0.23541666666666666</v>
      </c>
      <c r="U51" s="15"/>
      <c r="V51" s="24">
        <f t="shared" ref="V51:V56" si="42">(T51-S51)*24*60</f>
        <v>38.999999999999979</v>
      </c>
      <c r="W51" s="30"/>
      <c r="X51" s="30"/>
      <c r="Y51" s="30"/>
      <c r="Z51" s="30"/>
      <c r="AA51" s="575"/>
      <c r="AB51" s="575"/>
      <c r="AC51" s="50">
        <v>6</v>
      </c>
      <c r="AD51" s="27"/>
      <c r="AE51" s="20">
        <f t="shared" ref="AE51:AE64" si="43">M51-J51</f>
        <v>-96.923076923075314</v>
      </c>
      <c r="AF51" s="23">
        <f t="shared" si="9"/>
        <v>0.96769230769230818</v>
      </c>
      <c r="AG51" s="573">
        <f>AF57</f>
        <v>0.96375612074702066</v>
      </c>
    </row>
    <row r="52" spans="1:33" ht="15.75" customHeight="1">
      <c r="A52" s="580" t="s">
        <v>67</v>
      </c>
      <c r="B52" s="40" t="s">
        <v>104</v>
      </c>
      <c r="C52" s="574" t="s">
        <v>116</v>
      </c>
      <c r="D52" s="574"/>
      <c r="E52" s="39">
        <v>34.36</v>
      </c>
      <c r="F52" s="45">
        <v>1112</v>
      </c>
      <c r="G52" s="15">
        <f t="shared" si="40"/>
        <v>38208.32</v>
      </c>
      <c r="H52" s="48" t="s">
        <v>126</v>
      </c>
      <c r="I52" s="17">
        <v>10</v>
      </c>
      <c r="J52" s="43">
        <v>3000</v>
      </c>
      <c r="K52" s="18">
        <f t="shared" si="1"/>
        <v>300</v>
      </c>
      <c r="L52" s="17">
        <v>10</v>
      </c>
      <c r="M52" s="19">
        <f t="shared" si="41"/>
        <v>2900.8695652173865</v>
      </c>
      <c r="N52" s="18">
        <f t="shared" si="3"/>
        <v>290.08695652173867</v>
      </c>
      <c r="O52" s="20">
        <f t="shared" si="4"/>
        <v>0</v>
      </c>
      <c r="P52" s="21">
        <f t="shared" si="5"/>
        <v>-9.9130434782613293</v>
      </c>
      <c r="Q52" s="23">
        <f t="shared" si="6"/>
        <v>0.96695652173912894</v>
      </c>
      <c r="R52" s="573"/>
      <c r="S52" s="49">
        <v>0.23958333333333334</v>
      </c>
      <c r="T52" s="49">
        <v>0.25555555555555559</v>
      </c>
      <c r="U52" s="15">
        <f t="shared" ref="U52:U56" si="44">(S52-T51)*24*60</f>
        <v>6.0000000000000187</v>
      </c>
      <c r="V52" s="24">
        <f t="shared" si="42"/>
        <v>23.000000000000039</v>
      </c>
      <c r="W52" s="15"/>
      <c r="X52" s="15"/>
      <c r="Y52" s="15"/>
      <c r="Z52" s="15"/>
      <c r="AA52" s="575"/>
      <c r="AB52" s="575"/>
      <c r="AC52" s="50"/>
      <c r="AD52" s="27"/>
      <c r="AE52" s="20">
        <f t="shared" si="43"/>
        <v>-99.13043478261352</v>
      </c>
      <c r="AF52" s="23">
        <f t="shared" si="9"/>
        <v>0.96695652173912883</v>
      </c>
      <c r="AG52" s="573"/>
    </row>
    <row r="53" spans="1:33" ht="15.75" customHeight="1">
      <c r="A53" s="580" t="s">
        <v>292</v>
      </c>
      <c r="B53" s="40" t="s">
        <v>104</v>
      </c>
      <c r="C53" s="574" t="s">
        <v>117</v>
      </c>
      <c r="D53" s="574"/>
      <c r="E53" s="39">
        <v>26.78</v>
      </c>
      <c r="F53" s="45">
        <v>2090</v>
      </c>
      <c r="G53" s="15">
        <f t="shared" si="40"/>
        <v>55970.200000000004</v>
      </c>
      <c r="H53" s="48" t="s">
        <v>126</v>
      </c>
      <c r="I53" s="17">
        <v>10</v>
      </c>
      <c r="J53" s="43">
        <v>3000</v>
      </c>
      <c r="K53" s="18">
        <f t="shared" si="1"/>
        <v>300</v>
      </c>
      <c r="L53" s="17">
        <v>10</v>
      </c>
      <c r="M53" s="19">
        <f t="shared" si="41"/>
        <v>2916.2790697674413</v>
      </c>
      <c r="N53" s="18">
        <f t="shared" si="3"/>
        <v>291.62790697674416</v>
      </c>
      <c r="O53" s="20">
        <f t="shared" si="4"/>
        <v>0</v>
      </c>
      <c r="P53" s="21">
        <f t="shared" si="5"/>
        <v>-8.372093023255843</v>
      </c>
      <c r="Q53" s="23">
        <f t="shared" si="6"/>
        <v>0.97209302325581382</v>
      </c>
      <c r="R53" s="573"/>
      <c r="S53" s="49">
        <v>0.26041666666666669</v>
      </c>
      <c r="T53" s="49">
        <v>0.2902777777777778</v>
      </c>
      <c r="U53" s="15">
        <f t="shared" si="44"/>
        <v>6.9999999999999751</v>
      </c>
      <c r="V53" s="24">
        <f t="shared" si="42"/>
        <v>43.000000000000007</v>
      </c>
      <c r="W53" s="15"/>
      <c r="X53" s="15"/>
      <c r="Y53" s="15"/>
      <c r="Z53" s="15"/>
      <c r="AA53" s="575"/>
      <c r="AB53" s="575"/>
      <c r="AC53" s="50"/>
      <c r="AD53" s="27"/>
      <c r="AE53" s="20">
        <f t="shared" si="43"/>
        <v>-83.720930232558658</v>
      </c>
      <c r="AF53" s="23">
        <f t="shared" si="9"/>
        <v>0.97209302325581382</v>
      </c>
      <c r="AG53" s="573"/>
    </row>
    <row r="54" spans="1:33" ht="15.75" customHeight="1">
      <c r="A54" s="580" t="s">
        <v>292</v>
      </c>
      <c r="B54" s="40" t="s">
        <v>104</v>
      </c>
      <c r="C54" s="574" t="s">
        <v>118</v>
      </c>
      <c r="D54" s="574"/>
      <c r="E54" s="39">
        <v>37.880000000000003</v>
      </c>
      <c r="F54" s="45">
        <v>1439</v>
      </c>
      <c r="G54" s="15">
        <f t="shared" si="40"/>
        <v>54509.320000000007</v>
      </c>
      <c r="H54" s="48" t="s">
        <v>126</v>
      </c>
      <c r="I54" s="17">
        <v>10</v>
      </c>
      <c r="J54" s="43">
        <v>3000</v>
      </c>
      <c r="K54" s="18">
        <f t="shared" si="1"/>
        <v>300</v>
      </c>
      <c r="L54" s="17">
        <v>10</v>
      </c>
      <c r="M54" s="19">
        <f t="shared" si="41"/>
        <v>2878.0000000000027</v>
      </c>
      <c r="N54" s="18">
        <f t="shared" si="3"/>
        <v>287.8000000000003</v>
      </c>
      <c r="O54" s="20">
        <f t="shared" si="4"/>
        <v>0</v>
      </c>
      <c r="P54" s="21">
        <f t="shared" si="5"/>
        <v>-12.199999999999704</v>
      </c>
      <c r="Q54" s="23">
        <f t="shared" si="6"/>
        <v>0.95933333333333437</v>
      </c>
      <c r="R54" s="573"/>
      <c r="S54" s="49">
        <v>0.29375000000000001</v>
      </c>
      <c r="T54" s="49">
        <v>0.31458333333333333</v>
      </c>
      <c r="U54" s="15">
        <f t="shared" si="44"/>
        <v>4.9999999999999822</v>
      </c>
      <c r="V54" s="24">
        <f t="shared" si="42"/>
        <v>29.999999999999972</v>
      </c>
      <c r="W54" s="15"/>
      <c r="X54" s="15"/>
      <c r="Y54" s="15"/>
      <c r="Z54" s="15"/>
      <c r="AA54" s="575"/>
      <c r="AB54" s="575"/>
      <c r="AC54" s="50"/>
      <c r="AD54" s="27"/>
      <c r="AE54" s="20">
        <f t="shared" si="43"/>
        <v>-121.99999999999727</v>
      </c>
      <c r="AF54" s="23">
        <f t="shared" si="9"/>
        <v>0.95933333333333426</v>
      </c>
      <c r="AG54" s="573"/>
    </row>
    <row r="55" spans="1:33">
      <c r="A55" s="581" t="s">
        <v>292</v>
      </c>
      <c r="B55" s="40" t="s">
        <v>104</v>
      </c>
      <c r="C55" s="574" t="s">
        <v>119</v>
      </c>
      <c r="D55" s="574"/>
      <c r="E55" s="39">
        <v>35.869999999999997</v>
      </c>
      <c r="F55" s="45">
        <v>3115</v>
      </c>
      <c r="G55" s="15">
        <f t="shared" si="40"/>
        <v>111735.04999999999</v>
      </c>
      <c r="H55" s="48" t="s">
        <v>126</v>
      </c>
      <c r="I55" s="17">
        <v>9</v>
      </c>
      <c r="J55" s="43">
        <v>3000</v>
      </c>
      <c r="K55" s="18">
        <f t="shared" si="1"/>
        <v>333.33333333333331</v>
      </c>
      <c r="L55" s="17">
        <v>9</v>
      </c>
      <c r="M55" s="19">
        <f t="shared" si="41"/>
        <v>2875.3846153846148</v>
      </c>
      <c r="N55" s="18">
        <f t="shared" si="3"/>
        <v>319.48717948717945</v>
      </c>
      <c r="O55" s="20">
        <f t="shared" si="4"/>
        <v>0</v>
      </c>
      <c r="P55" s="21">
        <f t="shared" si="5"/>
        <v>-13.846153846153868</v>
      </c>
      <c r="Q55" s="23">
        <f t="shared" si="6"/>
        <v>0.95846153846153836</v>
      </c>
      <c r="R55" s="573"/>
      <c r="S55" s="49">
        <v>0.31944444444444442</v>
      </c>
      <c r="T55" s="49">
        <v>0.36458333333333331</v>
      </c>
      <c r="U55" s="15">
        <f t="shared" si="44"/>
        <v>6.9999999999999751</v>
      </c>
      <c r="V55" s="24">
        <f t="shared" si="42"/>
        <v>65.000000000000014</v>
      </c>
      <c r="W55" s="25"/>
      <c r="X55" s="25"/>
      <c r="Y55" s="25"/>
      <c r="Z55" s="25"/>
      <c r="AA55" s="575"/>
      <c r="AB55" s="575"/>
      <c r="AC55" s="50"/>
      <c r="AD55" s="27"/>
      <c r="AE55" s="20">
        <f t="shared" si="43"/>
        <v>-124.61538461538521</v>
      </c>
      <c r="AF55" s="23">
        <f t="shared" si="9"/>
        <v>0.95846153846153825</v>
      </c>
      <c r="AG55" s="573"/>
    </row>
    <row r="56" spans="1:33" ht="15" customHeight="1">
      <c r="A56" s="581" t="s">
        <v>292</v>
      </c>
      <c r="B56" s="40" t="s">
        <v>104</v>
      </c>
      <c r="C56" s="566" t="s">
        <v>120</v>
      </c>
      <c r="D56" s="567"/>
      <c r="E56" s="39">
        <v>34.35</v>
      </c>
      <c r="F56" s="45">
        <v>1916</v>
      </c>
      <c r="G56" s="15">
        <f t="shared" si="40"/>
        <v>65814.600000000006</v>
      </c>
      <c r="H56" s="48" t="s">
        <v>126</v>
      </c>
      <c r="I56" s="17">
        <v>8</v>
      </c>
      <c r="J56" s="43">
        <v>3000</v>
      </c>
      <c r="K56" s="18">
        <f t="shared" si="1"/>
        <v>375</v>
      </c>
      <c r="L56" s="17">
        <v>8</v>
      </c>
      <c r="M56" s="19">
        <f t="shared" si="41"/>
        <v>2873.9999999999991</v>
      </c>
      <c r="N56" s="18">
        <f t="shared" si="3"/>
        <v>359.24999999999989</v>
      </c>
      <c r="O56" s="20">
        <f t="shared" si="4"/>
        <v>0</v>
      </c>
      <c r="P56" s="21">
        <f t="shared" si="5"/>
        <v>-15.750000000000114</v>
      </c>
      <c r="Q56" s="23">
        <f t="shared" si="6"/>
        <v>0.95799999999999974</v>
      </c>
      <c r="R56" s="573"/>
      <c r="S56" s="49">
        <v>0.37013888888888885</v>
      </c>
      <c r="T56" s="49">
        <v>0.39791666666666664</v>
      </c>
      <c r="U56" s="15">
        <f t="shared" si="44"/>
        <v>7.9999999999999716</v>
      </c>
      <c r="V56" s="24">
        <f t="shared" si="42"/>
        <v>40.000000000000014</v>
      </c>
      <c r="W56" s="15"/>
      <c r="X56" s="15"/>
      <c r="Y56" s="34"/>
      <c r="Z56" s="34"/>
      <c r="AA56" s="568"/>
      <c r="AB56" s="569"/>
      <c r="AC56" s="50"/>
      <c r="AD56" s="27"/>
      <c r="AE56" s="20">
        <f t="shared" si="43"/>
        <v>-126.00000000000091</v>
      </c>
      <c r="AF56" s="23">
        <f t="shared" si="9"/>
        <v>0.95799999999999974</v>
      </c>
      <c r="AG56" s="573"/>
    </row>
    <row r="57" spans="1:33">
      <c r="A57" s="581" t="s">
        <v>292</v>
      </c>
      <c r="B57" s="39" t="s">
        <v>289</v>
      </c>
      <c r="C57" s="576"/>
      <c r="D57" s="576"/>
      <c r="E57" s="41"/>
      <c r="F57" s="42"/>
      <c r="G57" s="18"/>
      <c r="H57" s="40"/>
      <c r="I57" s="32">
        <v>9.5</v>
      </c>
      <c r="J57" s="43">
        <v>3000</v>
      </c>
      <c r="K57" s="18">
        <f t="shared" si="1"/>
        <v>315.78947368421052</v>
      </c>
      <c r="L57" s="32">
        <v>9.5</v>
      </c>
      <c r="M57" s="19">
        <f>AVERAGE(M51:M56)</f>
        <v>2891.2683622410618</v>
      </c>
      <c r="N57" s="18">
        <f t="shared" si="3"/>
        <v>304.34403813063807</v>
      </c>
      <c r="O57" s="20">
        <f t="shared" si="4"/>
        <v>0</v>
      </c>
      <c r="P57" s="21">
        <f t="shared" si="5"/>
        <v>-11.445435553572452</v>
      </c>
      <c r="Q57" s="23">
        <f t="shared" si="6"/>
        <v>0.96375612074702055</v>
      </c>
      <c r="R57" s="573"/>
      <c r="S57" s="49"/>
      <c r="T57" s="49"/>
      <c r="U57" s="18"/>
      <c r="V57" s="24"/>
      <c r="W57" s="18"/>
      <c r="X57" s="18"/>
      <c r="Y57" s="33">
        <f>SUM(Y51:Y56)</f>
        <v>0</v>
      </c>
      <c r="Z57" s="33">
        <f>SUM(Z51:Z56)</f>
        <v>0</v>
      </c>
      <c r="AA57" s="572"/>
      <c r="AB57" s="572"/>
      <c r="AC57" s="33">
        <v>6</v>
      </c>
      <c r="AD57" s="33">
        <f>SUM(AD51:AD56)</f>
        <v>0</v>
      </c>
      <c r="AE57" s="20">
        <f t="shared" si="43"/>
        <v>-108.73163775893818</v>
      </c>
      <c r="AF57" s="23">
        <f t="shared" si="9"/>
        <v>0.96375612074702066</v>
      </c>
      <c r="AG57" s="573"/>
    </row>
    <row r="58" spans="1:33" ht="15.75" customHeight="1">
      <c r="A58" s="577" t="s">
        <v>71</v>
      </c>
      <c r="B58" s="40" t="s">
        <v>94</v>
      </c>
      <c r="C58" s="574" t="s">
        <v>121</v>
      </c>
      <c r="D58" s="574"/>
      <c r="E58" s="39">
        <v>26.2</v>
      </c>
      <c r="F58" s="40">
        <v>6109</v>
      </c>
      <c r="G58" s="15">
        <f t="shared" ref="G58:G63" si="45">E58*F58</f>
        <v>160055.79999999999</v>
      </c>
      <c r="H58" s="48" t="s">
        <v>126</v>
      </c>
      <c r="I58" s="17">
        <v>18</v>
      </c>
      <c r="J58" s="43">
        <v>2400</v>
      </c>
      <c r="K58" s="18">
        <f t="shared" si="1"/>
        <v>133.33333333333334</v>
      </c>
      <c r="L58" s="17">
        <v>18</v>
      </c>
      <c r="M58" s="19">
        <f t="shared" ref="M58:M63" si="46">F58/V58*60</f>
        <v>2290.8750000000005</v>
      </c>
      <c r="N58" s="18">
        <f t="shared" si="3"/>
        <v>127.27083333333336</v>
      </c>
      <c r="O58" s="20">
        <f t="shared" si="4"/>
        <v>0</v>
      </c>
      <c r="P58" s="21">
        <f t="shared" si="5"/>
        <v>-6.0624999999999858</v>
      </c>
      <c r="Q58" s="23">
        <f t="shared" si="6"/>
        <v>0.95453125000000016</v>
      </c>
      <c r="R58" s="573">
        <f>Q64</f>
        <v>0.95489155271987114</v>
      </c>
      <c r="S58" s="49">
        <v>8.3333333333333329E-2</v>
      </c>
      <c r="T58" s="49">
        <v>0.19444444444444442</v>
      </c>
      <c r="U58" s="30"/>
      <c r="V58" s="24">
        <f t="shared" ref="V58:V63" si="47">(T58-S58)*24*60</f>
        <v>159.99999999999997</v>
      </c>
      <c r="W58" s="25">
        <f>T58</f>
        <v>0.19444444444444442</v>
      </c>
      <c r="X58" s="25">
        <f>S59</f>
        <v>0.21458333333333332</v>
      </c>
      <c r="Y58" s="25"/>
      <c r="Z58" s="25"/>
      <c r="AA58" s="575"/>
      <c r="AB58" s="575"/>
      <c r="AC58" s="50">
        <v>6</v>
      </c>
      <c r="AD58" s="27"/>
      <c r="AE58" s="20">
        <f t="shared" si="43"/>
        <v>-109.12499999999955</v>
      </c>
      <c r="AF58" s="23">
        <f t="shared" si="9"/>
        <v>0.95453125000000016</v>
      </c>
      <c r="AG58" s="573">
        <f>AF64</f>
        <v>0.95489155271987125</v>
      </c>
    </row>
    <row r="59" spans="1:33" ht="15.75" customHeight="1">
      <c r="A59" s="578" t="s">
        <v>71</v>
      </c>
      <c r="B59" s="40" t="s">
        <v>94</v>
      </c>
      <c r="C59" s="574" t="s">
        <v>122</v>
      </c>
      <c r="D59" s="574"/>
      <c r="E59" s="39">
        <v>20.52</v>
      </c>
      <c r="F59" s="40">
        <v>2496</v>
      </c>
      <c r="G59" s="15">
        <f t="shared" si="45"/>
        <v>51217.919999999998</v>
      </c>
      <c r="H59" s="48" t="s">
        <v>126</v>
      </c>
      <c r="I59" s="17">
        <v>18</v>
      </c>
      <c r="J59" s="43">
        <v>2400</v>
      </c>
      <c r="K59" s="18">
        <f t="shared" si="1"/>
        <v>133.33333333333334</v>
      </c>
      <c r="L59" s="17">
        <v>18</v>
      </c>
      <c r="M59" s="19">
        <f t="shared" si="46"/>
        <v>2304.0000000000014</v>
      </c>
      <c r="N59" s="18">
        <f t="shared" si="3"/>
        <v>128.00000000000009</v>
      </c>
      <c r="O59" s="20">
        <f t="shared" si="4"/>
        <v>0</v>
      </c>
      <c r="P59" s="21">
        <f t="shared" si="5"/>
        <v>-5.3333333333332575</v>
      </c>
      <c r="Q59" s="23">
        <f t="shared" si="6"/>
        <v>0.96000000000000052</v>
      </c>
      <c r="R59" s="573"/>
      <c r="S59" s="49">
        <v>0.21458333333333332</v>
      </c>
      <c r="T59" s="49">
        <v>0.25972222222222219</v>
      </c>
      <c r="U59" s="15">
        <f t="shared" ref="U59:U63" si="48">(S59-T58)*24*60</f>
        <v>29.000000000000018</v>
      </c>
      <c r="V59" s="24">
        <f t="shared" si="47"/>
        <v>64.999999999999972</v>
      </c>
      <c r="W59" s="25"/>
      <c r="X59" s="25"/>
      <c r="Y59" s="25"/>
      <c r="Z59" s="25"/>
      <c r="AA59" s="575"/>
      <c r="AB59" s="575"/>
      <c r="AC59" s="50"/>
      <c r="AD59" s="27"/>
      <c r="AE59" s="20">
        <f t="shared" si="43"/>
        <v>-95.999999999998636</v>
      </c>
      <c r="AF59" s="23">
        <f t="shared" si="9"/>
        <v>0.96000000000000052</v>
      </c>
      <c r="AG59" s="573"/>
    </row>
    <row r="60" spans="1:33" ht="15.75" customHeight="1">
      <c r="A60" s="578" t="s">
        <v>71</v>
      </c>
      <c r="B60" s="40" t="s">
        <v>94</v>
      </c>
      <c r="C60" s="574" t="s">
        <v>123</v>
      </c>
      <c r="D60" s="574"/>
      <c r="E60" s="39">
        <v>20.21</v>
      </c>
      <c r="F60" s="40">
        <v>2593</v>
      </c>
      <c r="G60" s="15">
        <f t="shared" si="45"/>
        <v>52404.53</v>
      </c>
      <c r="H60" s="48" t="s">
        <v>126</v>
      </c>
      <c r="I60" s="17">
        <v>15</v>
      </c>
      <c r="J60" s="43">
        <v>2400</v>
      </c>
      <c r="K60" s="18">
        <f t="shared" si="1"/>
        <v>160</v>
      </c>
      <c r="L60" s="17">
        <v>15</v>
      </c>
      <c r="M60" s="19">
        <f t="shared" si="46"/>
        <v>2287.9411764705883</v>
      </c>
      <c r="N60" s="18">
        <f t="shared" si="3"/>
        <v>152.52941176470588</v>
      </c>
      <c r="O60" s="20">
        <f t="shared" si="4"/>
        <v>0</v>
      </c>
      <c r="P60" s="21">
        <f t="shared" si="5"/>
        <v>-7.470588235294116</v>
      </c>
      <c r="Q60" s="23">
        <f t="shared" si="6"/>
        <v>0.95330882352941182</v>
      </c>
      <c r="R60" s="573"/>
      <c r="S60" s="49">
        <v>0.26388888888888884</v>
      </c>
      <c r="T60" s="49">
        <v>0.31111111111111106</v>
      </c>
      <c r="U60" s="15">
        <f t="shared" si="48"/>
        <v>5.9999999999999787</v>
      </c>
      <c r="V60" s="24">
        <f t="shared" si="47"/>
        <v>68</v>
      </c>
      <c r="W60" s="25"/>
      <c r="X60" s="25"/>
      <c r="Y60" s="25"/>
      <c r="Z60" s="25"/>
      <c r="AA60" s="575"/>
      <c r="AB60" s="575"/>
      <c r="AC60" s="50"/>
      <c r="AD60" s="27"/>
      <c r="AE60" s="20">
        <f t="shared" si="43"/>
        <v>-112.05882352941171</v>
      </c>
      <c r="AF60" s="23">
        <f t="shared" si="9"/>
        <v>0.95330882352941182</v>
      </c>
      <c r="AG60" s="573"/>
    </row>
    <row r="61" spans="1:33" ht="15.75" customHeight="1">
      <c r="A61" s="578" t="s">
        <v>71</v>
      </c>
      <c r="B61" s="40" t="s">
        <v>94</v>
      </c>
      <c r="C61" s="574" t="s">
        <v>124</v>
      </c>
      <c r="D61" s="574"/>
      <c r="E61" s="39">
        <v>22.69</v>
      </c>
      <c r="F61" s="40">
        <v>3926</v>
      </c>
      <c r="G61" s="15">
        <f t="shared" si="45"/>
        <v>89080.94</v>
      </c>
      <c r="H61" s="48" t="s">
        <v>126</v>
      </c>
      <c r="I61" s="17">
        <v>15</v>
      </c>
      <c r="J61" s="43">
        <v>2400</v>
      </c>
      <c r="K61" s="18">
        <f t="shared" si="1"/>
        <v>160</v>
      </c>
      <c r="L61" s="17">
        <v>15</v>
      </c>
      <c r="M61" s="19">
        <f t="shared" si="46"/>
        <v>2286.9902912621351</v>
      </c>
      <c r="N61" s="18">
        <f t="shared" si="3"/>
        <v>152.46601941747568</v>
      </c>
      <c r="O61" s="20">
        <f t="shared" si="4"/>
        <v>0</v>
      </c>
      <c r="P61" s="21">
        <f t="shared" si="5"/>
        <v>-7.5339805825243218</v>
      </c>
      <c r="Q61" s="23">
        <f t="shared" si="6"/>
        <v>0.95291262135922294</v>
      </c>
      <c r="R61" s="573"/>
      <c r="S61" s="49">
        <v>0.31458333333333327</v>
      </c>
      <c r="T61" s="49">
        <v>0.38611111111111107</v>
      </c>
      <c r="U61" s="15">
        <f t="shared" si="48"/>
        <v>4.9999999999999822</v>
      </c>
      <c r="V61" s="24">
        <f t="shared" si="47"/>
        <v>103.00000000000003</v>
      </c>
      <c r="W61" s="25"/>
      <c r="X61" s="25"/>
      <c r="Y61" s="25"/>
      <c r="Z61" s="25"/>
      <c r="AA61" s="575"/>
      <c r="AB61" s="575"/>
      <c r="AC61" s="50"/>
      <c r="AD61" s="27"/>
      <c r="AE61" s="20">
        <f t="shared" si="43"/>
        <v>-113.00970873786491</v>
      </c>
      <c r="AF61" s="23">
        <f t="shared" si="9"/>
        <v>0.95291262135922294</v>
      </c>
      <c r="AG61" s="573"/>
    </row>
    <row r="62" spans="1:33" ht="15.75" customHeight="1">
      <c r="A62" s="578" t="s">
        <v>71</v>
      </c>
      <c r="B62" s="40" t="s">
        <v>94</v>
      </c>
      <c r="C62" s="574" t="s">
        <v>125</v>
      </c>
      <c r="D62" s="574"/>
      <c r="E62" s="39">
        <v>19.02</v>
      </c>
      <c r="F62" s="40">
        <v>5000</v>
      </c>
      <c r="G62" s="15">
        <f t="shared" si="45"/>
        <v>95100</v>
      </c>
      <c r="H62" s="48">
        <v>2</v>
      </c>
      <c r="I62" s="17">
        <v>14</v>
      </c>
      <c r="J62" s="43">
        <v>2400</v>
      </c>
      <c r="K62" s="18">
        <f t="shared" si="1"/>
        <v>171.42857142857142</v>
      </c>
      <c r="L62" s="17">
        <v>14</v>
      </c>
      <c r="M62" s="19">
        <f t="shared" si="46"/>
        <v>2290.0763358778627</v>
      </c>
      <c r="N62" s="18">
        <f t="shared" si="3"/>
        <v>163.57688113413306</v>
      </c>
      <c r="O62" s="20">
        <f t="shared" si="4"/>
        <v>0</v>
      </c>
      <c r="P62" s="21">
        <f t="shared" si="5"/>
        <v>-7.851690294438356</v>
      </c>
      <c r="Q62" s="23">
        <f t="shared" si="6"/>
        <v>0.95419847328244289</v>
      </c>
      <c r="R62" s="573"/>
      <c r="S62" s="49">
        <v>0.38958333333333328</v>
      </c>
      <c r="T62" s="49">
        <v>0.48055555555555551</v>
      </c>
      <c r="U62" s="15">
        <f t="shared" si="48"/>
        <v>4.9999999999999822</v>
      </c>
      <c r="V62" s="24">
        <f t="shared" si="47"/>
        <v>131</v>
      </c>
      <c r="W62" s="25">
        <f>T62</f>
        <v>0.48055555555555551</v>
      </c>
      <c r="X62" s="25">
        <f>S63</f>
        <v>0.5215277777777777</v>
      </c>
      <c r="Y62" s="25"/>
      <c r="Z62" s="25"/>
      <c r="AA62" s="575"/>
      <c r="AB62" s="575"/>
      <c r="AC62" s="50"/>
      <c r="AD62" s="27"/>
      <c r="AE62" s="20">
        <f t="shared" si="43"/>
        <v>-109.92366412213732</v>
      </c>
      <c r="AF62" s="23">
        <f t="shared" si="9"/>
        <v>0.95419847328244278</v>
      </c>
      <c r="AG62" s="573"/>
    </row>
    <row r="63" spans="1:33" ht="15.75" customHeight="1">
      <c r="A63" s="578" t="s">
        <v>71</v>
      </c>
      <c r="B63" s="40" t="s">
        <v>94</v>
      </c>
      <c r="C63" s="574" t="s">
        <v>125</v>
      </c>
      <c r="D63" s="574"/>
      <c r="E63" s="39">
        <v>19.02</v>
      </c>
      <c r="F63" s="40">
        <v>4123</v>
      </c>
      <c r="G63" s="15">
        <f t="shared" si="45"/>
        <v>78419.459999999992</v>
      </c>
      <c r="H63" s="48" t="s">
        <v>126</v>
      </c>
      <c r="I63" s="17">
        <v>14</v>
      </c>
      <c r="J63" s="43">
        <v>2400</v>
      </c>
      <c r="K63" s="18">
        <f t="shared" si="1"/>
        <v>171.42857142857142</v>
      </c>
      <c r="L63" s="17">
        <v>14</v>
      </c>
      <c r="M63" s="19">
        <f t="shared" si="46"/>
        <v>2290.5555555555566</v>
      </c>
      <c r="N63" s="18">
        <f t="shared" si="3"/>
        <v>163.61111111111117</v>
      </c>
      <c r="O63" s="20">
        <f t="shared" si="4"/>
        <v>0</v>
      </c>
      <c r="P63" s="21">
        <f t="shared" si="5"/>
        <v>-7.8174603174602453</v>
      </c>
      <c r="Q63" s="23">
        <f t="shared" si="6"/>
        <v>0.95439814814814861</v>
      </c>
      <c r="R63" s="573"/>
      <c r="S63" s="49">
        <v>0.5215277777777777</v>
      </c>
      <c r="T63" s="49">
        <v>0.59652777777777766</v>
      </c>
      <c r="U63" s="15">
        <f t="shared" si="48"/>
        <v>58.99999999999995</v>
      </c>
      <c r="V63" s="24">
        <f t="shared" si="47"/>
        <v>107.99999999999994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43"/>
        <v>-109.44444444444343</v>
      </c>
      <c r="AF63" s="23">
        <f t="shared" si="9"/>
        <v>0.95439814814814861</v>
      </c>
      <c r="AG63" s="573"/>
    </row>
    <row r="64" spans="1:33" ht="16.5" customHeight="1">
      <c r="A64" s="579" t="s">
        <v>71</v>
      </c>
      <c r="B64" s="39" t="s">
        <v>289</v>
      </c>
      <c r="C64" s="570"/>
      <c r="D64" s="571"/>
      <c r="E64" s="41"/>
      <c r="F64" s="42"/>
      <c r="G64" s="18"/>
      <c r="H64" s="40"/>
      <c r="I64" s="32">
        <v>15.666666666666666</v>
      </c>
      <c r="J64" s="43">
        <v>2400</v>
      </c>
      <c r="K64" s="18">
        <f t="shared" si="1"/>
        <v>153.19148936170214</v>
      </c>
      <c r="L64" s="32">
        <v>15.666666666666666</v>
      </c>
      <c r="M64" s="19">
        <f>AVERAGE(M58:M63)</f>
        <v>2291.7397265276909</v>
      </c>
      <c r="N64" s="18">
        <f t="shared" si="3"/>
        <v>146.28125914006537</v>
      </c>
      <c r="O64" s="20">
        <f t="shared" si="4"/>
        <v>0</v>
      </c>
      <c r="P64" s="21">
        <f t="shared" si="5"/>
        <v>-6.9102302216367661</v>
      </c>
      <c r="Q64" s="23">
        <f t="shared" si="6"/>
        <v>0.95489155271987114</v>
      </c>
      <c r="R64" s="573"/>
      <c r="S64" s="49"/>
      <c r="T64" s="49"/>
      <c r="U64" s="18"/>
      <c r="V64" s="24"/>
      <c r="W64" s="18"/>
      <c r="X64" s="18"/>
      <c r="Y64" s="33">
        <f>SUM(Y58:Y63)</f>
        <v>0</v>
      </c>
      <c r="Z64" s="33">
        <f>SUM(Z58:Z63)</f>
        <v>0</v>
      </c>
      <c r="AA64" s="572"/>
      <c r="AB64" s="572"/>
      <c r="AC64" s="33">
        <v>6</v>
      </c>
      <c r="AD64" s="33">
        <f>SUM(AD58:AD63)</f>
        <v>0</v>
      </c>
      <c r="AE64" s="20">
        <f t="shared" si="43"/>
        <v>-108.26027347230911</v>
      </c>
      <c r="AF64" s="23">
        <f t="shared" si="9"/>
        <v>0.95489155271987125</v>
      </c>
      <c r="AG64" s="573"/>
    </row>
    <row r="65" spans="4:5">
      <c r="D65" s="35"/>
      <c r="E65" s="35"/>
    </row>
  </sheetData>
  <mergeCells count="181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18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18:D18"/>
    <mergeCell ref="AA18:AB18"/>
    <mergeCell ref="AA30:AB30"/>
    <mergeCell ref="A19:A25"/>
    <mergeCell ref="C19:D19"/>
    <mergeCell ref="R19:R25"/>
    <mergeCell ref="AA19:AB19"/>
    <mergeCell ref="AA24:AB24"/>
    <mergeCell ref="A13:A18"/>
    <mergeCell ref="C13:D13"/>
    <mergeCell ref="R13:R18"/>
    <mergeCell ref="AA13:AB13"/>
    <mergeCell ref="C25:D25"/>
    <mergeCell ref="AA25:AB25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31:D31"/>
    <mergeCell ref="A32:A38"/>
    <mergeCell ref="C32:D32"/>
    <mergeCell ref="R32:R38"/>
    <mergeCell ref="AA32:AB32"/>
    <mergeCell ref="AG32:AG38"/>
    <mergeCell ref="C33:D33"/>
    <mergeCell ref="AA33:AB33"/>
    <mergeCell ref="C34:D34"/>
    <mergeCell ref="AA34:AB34"/>
    <mergeCell ref="C35:D35"/>
    <mergeCell ref="A26:A31"/>
    <mergeCell ref="C26:D26"/>
    <mergeCell ref="R26:R31"/>
    <mergeCell ref="AA26:AB26"/>
    <mergeCell ref="AA31:AB31"/>
    <mergeCell ref="AG26:AG31"/>
    <mergeCell ref="C27:D27"/>
    <mergeCell ref="AA27:AB27"/>
    <mergeCell ref="C28:D28"/>
    <mergeCell ref="AA28:AB28"/>
    <mergeCell ref="C29:D29"/>
    <mergeCell ref="AA29:AB29"/>
    <mergeCell ref="C30:D30"/>
    <mergeCell ref="AG39:AG43"/>
    <mergeCell ref="C40:D40"/>
    <mergeCell ref="AA40:AB40"/>
    <mergeCell ref="C41:D41"/>
    <mergeCell ref="AA41:AB41"/>
    <mergeCell ref="C42:D42"/>
    <mergeCell ref="AA35:AB35"/>
    <mergeCell ref="C36:D36"/>
    <mergeCell ref="AA36:AB36"/>
    <mergeCell ref="C37:D37"/>
    <mergeCell ref="AA37:AB37"/>
    <mergeCell ref="C38:D38"/>
    <mergeCell ref="AA38:AB38"/>
    <mergeCell ref="AA42:AB42"/>
    <mergeCell ref="C43:D43"/>
    <mergeCell ref="AA43:AB43"/>
    <mergeCell ref="A44:A50"/>
    <mergeCell ref="C44:D44"/>
    <mergeCell ref="R44:R50"/>
    <mergeCell ref="AA44:AB44"/>
    <mergeCell ref="AA50:AB50"/>
    <mergeCell ref="A39:A43"/>
    <mergeCell ref="C39:D39"/>
    <mergeCell ref="R39:R43"/>
    <mergeCell ref="AA39:AB39"/>
    <mergeCell ref="AG44:AG50"/>
    <mergeCell ref="C45:D45"/>
    <mergeCell ref="AA45:AB45"/>
    <mergeCell ref="C46:D46"/>
    <mergeCell ref="AA46:AB46"/>
    <mergeCell ref="AA47:AB47"/>
    <mergeCell ref="AA48:AB48"/>
    <mergeCell ref="C49:D49"/>
    <mergeCell ref="AA49:AB49"/>
    <mergeCell ref="C50:D50"/>
    <mergeCell ref="A51:A57"/>
    <mergeCell ref="C51:D51"/>
    <mergeCell ref="R51:R57"/>
    <mergeCell ref="AA51:AB51"/>
    <mergeCell ref="AG51:AG57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AA61:AB61"/>
    <mergeCell ref="C62:D62"/>
    <mergeCell ref="AA62:AB62"/>
    <mergeCell ref="A58:A64"/>
    <mergeCell ref="C58:D58"/>
    <mergeCell ref="R58:R64"/>
    <mergeCell ref="AA58:AB58"/>
    <mergeCell ref="AG58:AG64"/>
    <mergeCell ref="C59:D59"/>
    <mergeCell ref="AA59:AB59"/>
    <mergeCell ref="C60:D60"/>
    <mergeCell ref="AA60:AB60"/>
    <mergeCell ref="C61:D61"/>
    <mergeCell ref="C63:D63"/>
    <mergeCell ref="AA63:AB63"/>
    <mergeCell ref="C64:D64"/>
    <mergeCell ref="AA64:AB64"/>
  </mergeCells>
  <phoneticPr fontId="3" type="noConversion"/>
  <conditionalFormatting sqref="O54:O64 O5:O10 O12:O14 O18:O51">
    <cfRule type="cellIs" dxfId="158" priority="36" operator="greaterThan">
      <formula>0</formula>
    </cfRule>
  </conditionalFormatting>
  <conditionalFormatting sqref="P5:P8 P54:P56 AE54:AE56 P58:P63 P26:P30 P51 P10 P12:P14 P19:P24 P44:P49 P32:P42 AE5:AE51 AE58:AE64">
    <cfRule type="cellIs" dxfId="157" priority="40" operator="lessThan">
      <formula>0</formula>
    </cfRule>
  </conditionalFormatting>
  <conditionalFormatting sqref="AF54:AF56 Q54:Q64 Q5:Q10 Q12:Q14 Q18:Q51 AF5:AF51 AF58:AF64">
    <cfRule type="cellIs" dxfId="156" priority="37" operator="greaterThan">
      <formula>1</formula>
    </cfRule>
    <cfRule type="cellIs" dxfId="155" priority="38" operator="lessThan">
      <formula>0.8</formula>
    </cfRule>
  </conditionalFormatting>
  <conditionalFormatting sqref="AG13:AG14 R13:R14 AG54 R54:R64 AG5:AG10 R5:R10 R18:R51 AG18:AG51">
    <cfRule type="cellIs" dxfId="154" priority="42" operator="lessThan">
      <formula>0.8</formula>
    </cfRule>
  </conditionalFormatting>
  <conditionalFormatting sqref="AG39">
    <cfRule type="cellIs" dxfId="153" priority="44" operator="lessThan">
      <formula>0.8</formula>
    </cfRule>
  </conditionalFormatting>
  <conditionalFormatting sqref="AG19:AG24">
    <cfRule type="cellIs" dxfId="152" priority="41" operator="lessThan">
      <formula>0.8</formula>
    </cfRule>
  </conditionalFormatting>
  <conditionalFormatting sqref="AG26">
    <cfRule type="cellIs" dxfId="151" priority="43" operator="lessThan">
      <formula>0.8</formula>
    </cfRule>
  </conditionalFormatting>
  <conditionalFormatting sqref="AG32:AG37">
    <cfRule type="cellIs" dxfId="150" priority="39" operator="lessThan">
      <formula>0.8</formula>
    </cfRule>
  </conditionalFormatting>
  <conditionalFormatting sqref="AE57">
    <cfRule type="cellIs" dxfId="149" priority="35" operator="lessThan">
      <formula>0</formula>
    </cfRule>
  </conditionalFormatting>
  <conditionalFormatting sqref="AF57">
    <cfRule type="cellIs" dxfId="148" priority="33" operator="greaterThan">
      <formula>1</formula>
    </cfRule>
    <cfRule type="cellIs" dxfId="147" priority="34" operator="lessThan">
      <formula>0.8</formula>
    </cfRule>
  </conditionalFormatting>
  <conditionalFormatting sqref="O15:O16">
    <cfRule type="cellIs" dxfId="146" priority="28" operator="greaterThan">
      <formula>0</formula>
    </cfRule>
  </conditionalFormatting>
  <conditionalFormatting sqref="P15:P16">
    <cfRule type="cellIs" dxfId="145" priority="31" operator="lessThan">
      <formula>0</formula>
    </cfRule>
  </conditionalFormatting>
  <conditionalFormatting sqref="Q15:Q16">
    <cfRule type="cellIs" dxfId="144" priority="29" operator="greaterThan">
      <formula>1</formula>
    </cfRule>
    <cfRule type="cellIs" dxfId="143" priority="30" operator="lessThan">
      <formula>0.8</formula>
    </cfRule>
  </conditionalFormatting>
  <conditionalFormatting sqref="R15:R16 AG15:AG16">
    <cfRule type="cellIs" dxfId="142" priority="32" operator="lessThan">
      <formula>0.8</formula>
    </cfRule>
  </conditionalFormatting>
  <conditionalFormatting sqref="O11">
    <cfRule type="cellIs" dxfId="141" priority="24" operator="greaterThan">
      <formula>0</formula>
    </cfRule>
  </conditionalFormatting>
  <conditionalFormatting sqref="P11">
    <cfRule type="cellIs" dxfId="140" priority="27" operator="lessThan">
      <formula>0</formula>
    </cfRule>
  </conditionalFormatting>
  <conditionalFormatting sqref="Q11">
    <cfRule type="cellIs" dxfId="139" priority="25" operator="greaterThan">
      <formula>1</formula>
    </cfRule>
    <cfRule type="cellIs" dxfId="138" priority="26" operator="lessThan">
      <formula>0.8</formula>
    </cfRule>
  </conditionalFormatting>
  <conditionalFormatting sqref="O53">
    <cfRule type="cellIs" dxfId="137" priority="19" operator="greaterThan">
      <formula>0</formula>
    </cfRule>
  </conditionalFormatting>
  <conditionalFormatting sqref="P53 AE53">
    <cfRule type="cellIs" dxfId="136" priority="22" operator="lessThan">
      <formula>0</formula>
    </cfRule>
  </conditionalFormatting>
  <conditionalFormatting sqref="Q53 AF53">
    <cfRule type="cellIs" dxfId="135" priority="20" operator="greaterThan">
      <formula>1</formula>
    </cfRule>
    <cfRule type="cellIs" dxfId="134" priority="21" operator="lessThan">
      <formula>0.8</formula>
    </cfRule>
  </conditionalFormatting>
  <conditionalFormatting sqref="R53 AG53">
    <cfRule type="cellIs" dxfId="133" priority="23" operator="lessThan">
      <formula>0.8</formula>
    </cfRule>
  </conditionalFormatting>
  <conditionalFormatting sqref="O17">
    <cfRule type="cellIs" dxfId="132" priority="14" operator="greaterThan">
      <formula>0</formula>
    </cfRule>
  </conditionalFormatting>
  <conditionalFormatting sqref="P17">
    <cfRule type="cellIs" dxfId="131" priority="17" operator="lessThan">
      <formula>0</formula>
    </cfRule>
  </conditionalFormatting>
  <conditionalFormatting sqref="Q17">
    <cfRule type="cellIs" dxfId="130" priority="15" operator="greaterThan">
      <formula>1</formula>
    </cfRule>
    <cfRule type="cellIs" dxfId="129" priority="16" operator="lessThan">
      <formula>0.8</formula>
    </cfRule>
  </conditionalFormatting>
  <conditionalFormatting sqref="R17 AG17">
    <cfRule type="cellIs" dxfId="128" priority="18" operator="lessThan">
      <formula>0.8</formula>
    </cfRule>
  </conditionalFormatting>
  <conditionalFormatting sqref="O52">
    <cfRule type="cellIs" dxfId="127" priority="9" operator="greaterThan">
      <formula>0</formula>
    </cfRule>
  </conditionalFormatting>
  <conditionalFormatting sqref="P52 AE52">
    <cfRule type="cellIs" dxfId="126" priority="12" operator="lessThan">
      <formula>0</formula>
    </cfRule>
  </conditionalFormatting>
  <conditionalFormatting sqref="Q52 AF52">
    <cfRule type="cellIs" dxfId="125" priority="10" operator="greaterThan">
      <formula>1</formula>
    </cfRule>
    <cfRule type="cellIs" dxfId="124" priority="11" operator="lessThan">
      <formula>0.8</formula>
    </cfRule>
  </conditionalFormatting>
  <conditionalFormatting sqref="R52 AG52">
    <cfRule type="cellIs" dxfId="123" priority="13" operator="lessThan">
      <formula>0.8</formula>
    </cfRule>
  </conditionalFormatting>
  <conditionalFormatting sqref="P9">
    <cfRule type="cellIs" dxfId="122" priority="8" operator="lessThan">
      <formula>0</formula>
    </cfRule>
  </conditionalFormatting>
  <conditionalFormatting sqref="P18">
    <cfRule type="cellIs" dxfId="121" priority="7" operator="lessThan">
      <formula>0</formula>
    </cfRule>
  </conditionalFormatting>
  <conditionalFormatting sqref="P25">
    <cfRule type="cellIs" dxfId="120" priority="6" operator="lessThan">
      <formula>0</formula>
    </cfRule>
  </conditionalFormatting>
  <conditionalFormatting sqref="P31">
    <cfRule type="cellIs" dxfId="119" priority="5" operator="lessThan">
      <formula>0</formula>
    </cfRule>
  </conditionalFormatting>
  <conditionalFormatting sqref="P43">
    <cfRule type="cellIs" dxfId="118" priority="4" operator="lessThan">
      <formula>0</formula>
    </cfRule>
  </conditionalFormatting>
  <conditionalFormatting sqref="P50">
    <cfRule type="cellIs" dxfId="117" priority="3" operator="lessThan">
      <formula>0</formula>
    </cfRule>
  </conditionalFormatting>
  <conditionalFormatting sqref="P57">
    <cfRule type="cellIs" dxfId="116" priority="2" operator="lessThan">
      <formula>0</formula>
    </cfRule>
  </conditionalFormatting>
  <conditionalFormatting sqref="P64">
    <cfRule type="cellIs" dxfId="115" priority="1" operator="lessThan">
      <formula>0</formula>
    </cfRule>
  </conditionalFormatting>
  <dataValidations count="1">
    <dataValidation type="list" allowBlank="1" showInputMessage="1" showErrorMessage="1" sqref="AB9 AA5:AB8 AB55:AB56 AB11:AB51 AA9:AA56 AA57:AB6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B1:Q32"/>
  <sheetViews>
    <sheetView zoomScale="85" zoomScaleNormal="85" workbookViewId="0">
      <selection activeCell="D20" sqref="D2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553" t="s">
        <v>127</v>
      </c>
      <c r="C1" s="553"/>
      <c r="D1" s="553"/>
      <c r="E1" s="553"/>
      <c r="F1" s="553"/>
      <c r="G1" s="553"/>
      <c r="H1" s="553"/>
      <c r="I1" s="553"/>
      <c r="J1" s="553"/>
      <c r="K1" s="51"/>
      <c r="L1" s="51"/>
      <c r="M1" s="51"/>
      <c r="N1" s="51"/>
      <c r="O1" s="51"/>
      <c r="P1" s="51"/>
    </row>
    <row r="2" spans="2:17" ht="27.75" customHeight="1">
      <c r="B2" s="554"/>
      <c r="C2" s="554"/>
      <c r="D2" s="554"/>
      <c r="E2" s="554"/>
      <c r="F2" s="554"/>
      <c r="G2" s="554"/>
      <c r="H2" s="554"/>
      <c r="I2" s="554"/>
      <c r="J2" s="554"/>
      <c r="K2" s="53"/>
      <c r="L2" s="53"/>
      <c r="M2" s="53"/>
      <c r="N2" s="51"/>
      <c r="O2" s="51"/>
      <c r="P2" s="51"/>
    </row>
    <row r="3" spans="2:17" ht="46.5" customHeight="1">
      <c r="B3" s="54" t="s">
        <v>128</v>
      </c>
      <c r="C3" s="555" t="str">
        <f>TEXT('0501 4度C'!A2,"yyyy.mm.ddaaaa")</f>
        <v>2026.05.01星期五</v>
      </c>
      <c r="D3" s="556"/>
      <c r="E3" s="54" t="s">
        <v>129</v>
      </c>
      <c r="F3" s="557">
        <f>'0501 4度C'!D1</f>
        <v>136753</v>
      </c>
      <c r="G3" s="558"/>
      <c r="H3" s="54" t="s">
        <v>130</v>
      </c>
      <c r="I3" s="559">
        <f>'0501 4度C'!F1</f>
        <v>4683252.0599999996</v>
      </c>
      <c r="J3" s="560"/>
      <c r="K3" s="55"/>
      <c r="L3" s="56"/>
      <c r="M3" s="57"/>
      <c r="N3" s="57"/>
    </row>
    <row r="4" spans="2:17" ht="28.5" customHeight="1">
      <c r="B4" s="561" t="s">
        <v>131</v>
      </c>
      <c r="C4" s="547" t="s">
        <v>132</v>
      </c>
      <c r="D4" s="548"/>
      <c r="E4" s="564" t="s">
        <v>133</v>
      </c>
      <c r="F4" s="565"/>
      <c r="G4" s="564" t="s">
        <v>134</v>
      </c>
      <c r="H4" s="565"/>
      <c r="I4" s="564" t="s">
        <v>135</v>
      </c>
      <c r="J4" s="565"/>
      <c r="K4" s="545" t="s">
        <v>136</v>
      </c>
      <c r="L4" s="546"/>
      <c r="M4" s="546" t="s">
        <v>137</v>
      </c>
      <c r="N4" s="546"/>
    </row>
    <row r="5" spans="2:17" ht="28.5" customHeight="1">
      <c r="B5" s="562"/>
      <c r="C5" s="547" t="s">
        <v>138</v>
      </c>
      <c r="D5" s="548"/>
      <c r="E5" s="547" t="s">
        <v>139</v>
      </c>
      <c r="F5" s="548"/>
      <c r="G5" s="549" t="s">
        <v>140</v>
      </c>
      <c r="H5" s="550"/>
      <c r="I5" s="551" t="s">
        <v>141</v>
      </c>
      <c r="J5" s="552"/>
      <c r="K5" s="58" t="s">
        <v>142</v>
      </c>
      <c r="L5" s="59" t="s">
        <v>143</v>
      </c>
      <c r="M5" s="58" t="s">
        <v>142</v>
      </c>
      <c r="N5" s="59" t="s">
        <v>144</v>
      </c>
    </row>
    <row r="6" spans="2:17" ht="28.5" customHeight="1">
      <c r="B6" s="562"/>
      <c r="C6" s="547" t="s">
        <v>145</v>
      </c>
      <c r="D6" s="548"/>
      <c r="E6" s="539">
        <f>AVERAGE(D13:M13)</f>
        <v>151.27136571883756</v>
      </c>
      <c r="F6" s="540">
        <f>AVERAGE(D31:O31,D13:J13)</f>
        <v>157.02864443915496</v>
      </c>
      <c r="G6" s="541">
        <f>AVERAGE(D13:J13)</f>
        <v>157.02864443915496</v>
      </c>
      <c r="H6" s="542"/>
      <c r="I6" s="541">
        <f>AVERAGE(K13:M13)</f>
        <v>137.83771537143025</v>
      </c>
      <c r="J6" s="542"/>
      <c r="K6" s="543">
        <f>'0501 4度C'!Y2</f>
        <v>0</v>
      </c>
      <c r="L6" s="528">
        <f>'0501 4度C'!Z2</f>
        <v>0</v>
      </c>
      <c r="M6" s="544">
        <f>'0501 4度C'!AC2</f>
        <v>50</v>
      </c>
      <c r="N6" s="528">
        <f>'0501 4度C'!AD2</f>
        <v>0</v>
      </c>
    </row>
    <row r="7" spans="2:17" ht="28.5" customHeight="1">
      <c r="B7" s="562"/>
      <c r="C7" s="529" t="s">
        <v>146</v>
      </c>
      <c r="D7" s="530"/>
      <c r="E7" s="531">
        <f>AVERAGE(D14:M14)</f>
        <v>145.07841221311438</v>
      </c>
      <c r="F7" s="532">
        <f>AVERAGE(D32:O32,D14:J14)</f>
        <v>150.81576005663257</v>
      </c>
      <c r="G7" s="533">
        <f>AVERAGE(D14:J14)</f>
        <v>150.81576005663257</v>
      </c>
      <c r="H7" s="534"/>
      <c r="I7" s="533">
        <f>AVERAGE(K14:M14)</f>
        <v>131.69126724490528</v>
      </c>
      <c r="J7" s="534"/>
      <c r="K7" s="543"/>
      <c r="L7" s="528"/>
      <c r="M7" s="544"/>
      <c r="N7" s="528"/>
    </row>
    <row r="8" spans="2:17" ht="28.5" customHeight="1">
      <c r="B8" s="563"/>
      <c r="C8" s="529" t="s">
        <v>147</v>
      </c>
      <c r="D8" s="530"/>
      <c r="E8" s="535">
        <f>AVERAGE(D15:M15)</f>
        <v>0.95881938526417065</v>
      </c>
      <c r="F8" s="536">
        <f>AVERAGE(D15:J15,D33:O33)</f>
        <v>0.96025090353437981</v>
      </c>
      <c r="G8" s="537">
        <f>AVERAGE(D15:J15)</f>
        <v>0.96025090353437981</v>
      </c>
      <c r="H8" s="538"/>
      <c r="I8" s="537">
        <f>AVERAGE(K15:M15)</f>
        <v>0.95547917596701637</v>
      </c>
      <c r="J8" s="538"/>
      <c r="K8" s="543"/>
      <c r="L8" s="528"/>
      <c r="M8" s="544"/>
      <c r="N8" s="528"/>
    </row>
    <row r="9" spans="2:17" ht="28.5" customHeight="1" thickBot="1">
      <c r="H9" s="61"/>
      <c r="K9" s="62" t="s">
        <v>148</v>
      </c>
      <c r="N9" s="57"/>
      <c r="O9" s="57"/>
      <c r="P9" s="57"/>
      <c r="Q9" s="57"/>
    </row>
    <row r="10" spans="2:17" ht="30" customHeight="1">
      <c r="B10" s="511" t="s">
        <v>149</v>
      </c>
      <c r="C10" s="512"/>
      <c r="D10" s="513" t="s">
        <v>150</v>
      </c>
      <c r="E10" s="514"/>
      <c r="F10" s="514"/>
      <c r="G10" s="514"/>
      <c r="H10" s="514"/>
      <c r="I10" s="514"/>
      <c r="J10" s="515"/>
      <c r="K10" s="516" t="s">
        <v>151</v>
      </c>
      <c r="L10" s="517"/>
      <c r="M10" s="518"/>
      <c r="P10" s="63"/>
      <c r="Q10" s="63"/>
    </row>
    <row r="11" spans="2:17" ht="17.25" customHeight="1">
      <c r="B11" s="519" t="s">
        <v>152</v>
      </c>
      <c r="C11" s="520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21"/>
      <c r="C12" s="522"/>
      <c r="D12" s="67" t="s">
        <v>153</v>
      </c>
      <c r="E12" s="68" t="s">
        <v>154</v>
      </c>
      <c r="F12" s="68" t="s">
        <v>155</v>
      </c>
      <c r="G12" s="68" t="s">
        <v>156</v>
      </c>
      <c r="H12" s="68" t="s">
        <v>157</v>
      </c>
      <c r="I12" s="68" t="s">
        <v>158</v>
      </c>
      <c r="J12" s="69" t="s">
        <v>159</v>
      </c>
      <c r="K12" s="67" t="s">
        <v>160</v>
      </c>
      <c r="L12" s="68" t="s">
        <v>161</v>
      </c>
      <c r="M12" s="69" t="s">
        <v>162</v>
      </c>
    </row>
    <row r="13" spans="2:17" ht="40.15" customHeight="1">
      <c r="B13" s="523" t="s">
        <v>163</v>
      </c>
      <c r="C13" s="70" t="s">
        <v>164</v>
      </c>
      <c r="D13" s="71">
        <f>SUMIFS('0501 4度C'!$K:$K,'0501 4度C'!$A:$A,"新豐6線",'0501 4度C'!$B:$B,"平均")</f>
        <v>119.40298507462687</v>
      </c>
      <c r="E13" s="72">
        <f>SUMIFS('0501 4度C'!$K:$K,'0501 4度C'!$A:$A,"新豐2線",'0501 4度C'!$B:$B,"平均")</f>
        <v>83.333333333333329</v>
      </c>
      <c r="F13" s="73">
        <f>SUMIFS('0501 4度C'!$K:$K,'0501 4度C'!$A:$A,"新豐5線",'0501 4度C'!$B:$B,"平均")</f>
        <v>97.701149425287369</v>
      </c>
      <c r="G13" s="73">
        <f>SUMIFS('0501 4度C'!$K:$K,'0501 4度C'!$A:$A,"新豐7線",'0501 4度C'!$B:$B,"平均")</f>
        <v>123.71134020618555</v>
      </c>
      <c r="H13" s="73">
        <f>SUMIFS('0501 4度C'!$K:$K,'0501 4度C'!$A:$A,"新豐3線",'0501 4度C'!$B:$B,"平均")</f>
        <v>255.81395348837211</v>
      </c>
      <c r="I13" s="73">
        <f>SUMIFS('0501 4度C'!$K:$K,'0501 4度C'!$A:$A,"新豐1線",'0501 4度C'!$B:$B,"平均")</f>
        <v>103.44827586206897</v>
      </c>
      <c r="J13" s="74">
        <f>SUMIFS('0501 4度C'!$K:$K,'0501 4度C'!$A:$A,"新豐10線",'0501 4度C'!$B:$B,"平均")</f>
        <v>315.78947368421052</v>
      </c>
      <c r="K13" s="75">
        <f>SUMIFS('0501 4度C'!$K:$K,'0501 4度C'!$A:$A,"新豐8線",'0501 4度C'!$B:$B,"平均")</f>
        <v>134.83146067415728</v>
      </c>
      <c r="L13" s="76">
        <f>SUMIFS('0501 4度C'!$K:$K,'0501 4度C'!$A:$A,"新豐9線",'0501 4度C'!$B:$B,"平均")</f>
        <v>125.49019607843138</v>
      </c>
      <c r="M13" s="74">
        <f>SUMIFS('0501 4度C'!$K:$K,'0501 4度C'!$A:$A,"新豐4線",'0501 4度C'!$B:$B,"平均")</f>
        <v>153.19148936170214</v>
      </c>
    </row>
    <row r="14" spans="2:17" ht="39.6" customHeight="1">
      <c r="B14" s="524"/>
      <c r="C14" s="77" t="s">
        <v>165</v>
      </c>
      <c r="D14" s="78">
        <f>SUMIFS('0501 4度C'!$N:$N,'0501 4度C'!$A:$A,"新豐6線",'0501 4度C'!$B:$B,"平均")</f>
        <v>115.05614819990302</v>
      </c>
      <c r="E14" s="79">
        <f>SUMIFS('0501 4度C'!$N:$N,'0501 4度C'!$A:$A,"新豐2線",'0501 4度C'!$B:$B,"平均")</f>
        <v>79.576178917822858</v>
      </c>
      <c r="F14" s="79">
        <f>SUMIFS('0501 4度C'!$N:$N,'0501 4度C'!$A:$A,"新豐5線",'0501 4度C'!$B:$B,"平均")</f>
        <v>94.166689610703571</v>
      </c>
      <c r="G14" s="79">
        <f>SUMIFS('0501 4度C'!$N:$N,'0501 4度C'!$A:$A,"新豐7線",'0501 4度C'!$B:$B,"平均")</f>
        <v>118.50400268664048</v>
      </c>
      <c r="H14" s="79">
        <f>SUMIFS('0501 4度C'!$N:$N,'0501 4度C'!$A:$A,"新豐3線",'0501 4度C'!$B:$B,"平均")</f>
        <v>243.89237875000774</v>
      </c>
      <c r="I14" s="79">
        <f>SUMIFS('0501 4度C'!$N:$N,'0501 4度C'!$A:$A,"新豐1線",'0501 4度C'!$B:$B,"平均")</f>
        <v>99.562217889851382</v>
      </c>
      <c r="J14" s="80">
        <f>SUMIFS('0501 4度C'!$N:$N,'0501 4度C'!$A:$A,"新豐10線",'0501 4度C'!$B:$B,"平均")</f>
        <v>304.95270434149887</v>
      </c>
      <c r="K14" s="81">
        <f>SUMIFS('0501 4度C'!$N:$N,'0501 4度C'!$A:$A,"新豐8線",'0501 4度C'!$B:$B,"平均")</f>
        <v>128.56186160940854</v>
      </c>
      <c r="L14" s="82">
        <f>SUMIFS('0501 4度C'!$N:$N,'0501 4度C'!$A:$A,"新豐9線",'0501 4度C'!$B:$B,"平均")</f>
        <v>120.20102217404281</v>
      </c>
      <c r="M14" s="80">
        <f>SUMIFS('0501 4度C'!$N:$N,'0501 4度C'!$A:$A,"新豐4線",'0501 4度C'!$B:$B,"平均")</f>
        <v>146.31091795126449</v>
      </c>
    </row>
    <row r="15" spans="2:17" ht="40.15" customHeight="1">
      <c r="B15" s="525"/>
      <c r="C15" s="83" t="s">
        <v>166</v>
      </c>
      <c r="D15" s="84">
        <f t="shared" ref="D15:M15" si="0">D14/D13</f>
        <v>0.96359524117418782</v>
      </c>
      <c r="E15" s="85">
        <f t="shared" si="0"/>
        <v>0.95491414701387434</v>
      </c>
      <c r="F15" s="85">
        <f t="shared" si="0"/>
        <v>0.96382376425073057</v>
      </c>
      <c r="G15" s="85">
        <f t="shared" si="0"/>
        <v>0.95790735505034397</v>
      </c>
      <c r="H15" s="85">
        <f t="shared" si="0"/>
        <v>0.95339748056821205</v>
      </c>
      <c r="I15" s="85">
        <f t="shared" si="0"/>
        <v>0.96243477293523005</v>
      </c>
      <c r="J15" s="86">
        <f t="shared" si="0"/>
        <v>0.96568356374807973</v>
      </c>
      <c r="K15" s="84">
        <f t="shared" si="0"/>
        <v>0.95350047360311341</v>
      </c>
      <c r="L15" s="85">
        <f t="shared" si="0"/>
        <v>0.95785189544940352</v>
      </c>
      <c r="M15" s="86">
        <f t="shared" si="0"/>
        <v>0.95508515884853196</v>
      </c>
    </row>
    <row r="16" spans="2:17" ht="17.25" customHeight="1">
      <c r="B16" s="526" t="s">
        <v>167</v>
      </c>
      <c r="C16" s="87" t="s">
        <v>168</v>
      </c>
      <c r="D16" s="88">
        <f>VLOOKUP("新豐6線",'0501 4度C'!$A:$T,19,0)</f>
        <v>0.70833333333333337</v>
      </c>
      <c r="E16" s="89">
        <f>VLOOKUP("新豐2線",'0501 4度C'!$A:$T,19,0)</f>
        <v>0.20833333333333334</v>
      </c>
      <c r="F16" s="89">
        <f>VLOOKUP("新豐5線",'0501 4度C'!$A:$T,19,0)</f>
        <v>0.20833333333333334</v>
      </c>
      <c r="G16" s="89">
        <f>VLOOKUP("新豐7線",'0501 4度C'!$A:$T,19,0)</f>
        <v>0.20833333333333334</v>
      </c>
      <c r="H16" s="89">
        <f>VLOOKUP("新豐3線",'0501 4度C'!$A:$T,19,0)</f>
        <v>8.3333333333333329E-2</v>
      </c>
      <c r="I16" s="89">
        <f>VLOOKUP("新豐1線",'0501 4度C'!$A:$T,19,0)</f>
        <v>0.20833333333333334</v>
      </c>
      <c r="J16" s="90">
        <f>VLOOKUP("新豐10線",'0501 4度C'!$A:$T,19,0)</f>
        <v>0.20833333333333334</v>
      </c>
      <c r="K16" s="91">
        <f>VLOOKUP("新豐8線",'0501 4度C'!$A:$T,19,0)</f>
        <v>8.3333333333333329E-2</v>
      </c>
      <c r="L16" s="92">
        <f>VLOOKUP("新豐9線",'0501 4度C'!$A:$T,19,0)</f>
        <v>8.3333333333333329E-2</v>
      </c>
      <c r="M16" s="93">
        <f>VLOOKUP("新豐4線",'0501 4度C'!$A:$T,19,0)</f>
        <v>8.3333333333333329E-2</v>
      </c>
    </row>
    <row r="17" spans="2:13" ht="17.25" customHeight="1">
      <c r="B17" s="527"/>
      <c r="C17" s="87" t="s">
        <v>169</v>
      </c>
      <c r="D17" s="91">
        <f>LOOKUP(2,1/(('0501 4度C'!$A:$A="新豐6線")*('0501 4度C'!$T:$T&lt;&gt;"")),'0501 4度C'!$T:$T)</f>
        <v>0.82638888888888895</v>
      </c>
      <c r="E17" s="89">
        <f>LOOKUP(2,1/(('0501 4度C'!$A:$A="新豐2線")*('0501 4度C'!$T:$T&lt;&gt;"")),'0501 4度C'!$T:$T)</f>
        <v>0.47013888888888888</v>
      </c>
      <c r="F17" s="89">
        <f>LOOKUP(2,1/(('0501 4度C'!$A:$A="新豐5線")*('0501 4度C'!$T:$T&lt;&gt;"")),'0501 4度C'!$T:$T)</f>
        <v>0.81736111111111109</v>
      </c>
      <c r="G17" s="89">
        <f>LOOKUP(2,1/(('0501 4度C'!$A:$A="新豐7線")*('0501 4度C'!$T:$T&lt;&gt;"")),'0501 4度C'!$T:$T)</f>
        <v>0.78819444444444442</v>
      </c>
      <c r="H17" s="89">
        <f>LOOKUP(2,1/(('0501 4度C'!$A:$A="新豐3線")*('0501 4度C'!$T:$T&lt;&gt;"")),'0501 4度C'!$T:$T)</f>
        <v>0.37083333333333335</v>
      </c>
      <c r="I17" s="89">
        <f>LOOKUP(2,1/(('0501 4度C'!$A:$A="新豐1線")*('0501 4度C'!$T:$T&lt;&gt;"")),'0501 4度C'!$T:$T)</f>
        <v>0.79652777777777783</v>
      </c>
      <c r="J17" s="90">
        <f>LOOKUP(2,1/(('0501 4度C'!$A:$A="新豐10線")*('0501 4度C'!$T:$T&lt;&gt;"")),'0501 4度C'!$T:$T)</f>
        <v>0.36319444444444443</v>
      </c>
      <c r="K17" s="88">
        <f>LOOKUP(2,1/(('0501 4度C'!$A:$A="新豐8線")*('0501 4度C'!$T:$T&lt;&gt;"")),'0501 4度C'!$T:$T)</f>
        <v>0.58333333333333326</v>
      </c>
      <c r="L17" s="89">
        <f>LOOKUP(2,1/(('0501 4度C'!$A:$A="新豐9線")*('0501 4度C'!$T:$T&lt;&gt;"")),'0501 4度C'!$T:$T)</f>
        <v>0.61249999999999993</v>
      </c>
      <c r="M17" s="90">
        <f>LOOKUP(2,1/(('0501 4度C'!$A:$A="新豐4線")*('0501 4度C'!$T:$T&lt;&gt;"")),'0501 4度C'!$T:$T)</f>
        <v>0.58333333333333315</v>
      </c>
    </row>
    <row r="18" spans="2:13" ht="17.25" customHeight="1">
      <c r="B18" s="505" t="s">
        <v>170</v>
      </c>
      <c r="C18" s="94" t="s">
        <v>171</v>
      </c>
      <c r="D18" s="95">
        <f>SUMIFS('0501 4度C'!$Y:$Y,'0501 4度C'!$A:$A,"新豐6線",'0501 4度C'!$B:$B,"平均")</f>
        <v>0</v>
      </c>
      <c r="E18" s="96">
        <f>SUMIFS('0501 4度C'!$Y:$Y,'0501 4度C'!$A:$A,"新豐2線",'0501 4度C'!$B:$B,"平均")</f>
        <v>0</v>
      </c>
      <c r="F18" s="96">
        <f>SUMIFS('0501 4度C'!$Y:$Y,'0501 4度C'!$A:$A,"新豐5線",'0501 4度C'!$B:$B,"平均")</f>
        <v>0</v>
      </c>
      <c r="G18" s="96">
        <f>SUMIFS('0501 4度C'!$Y:$Y,'0501 4度C'!$A:$A,"新豐7線",'0501 4度C'!$B:$B,"平均")</f>
        <v>0</v>
      </c>
      <c r="H18" s="96">
        <f>SUMIFS('0501 4度C'!$Y:$Y,'0501 4度C'!$A:$A,"新豐3線",'0501 4度C'!$B:$B,"平均")</f>
        <v>0</v>
      </c>
      <c r="I18" s="96">
        <f>SUMIFS('0501 4度C'!$Y:$Y,'0501 4度C'!$A:$A,"新豐1線",'0501 4度C'!$B:$B,"平均")</f>
        <v>0</v>
      </c>
      <c r="J18" s="97">
        <f>SUMIFS('0501 4度C'!$Y:$Y,'0501 4度C'!$A:$A,"新豐10線",'0501 4度C'!$B:$B,"平均")</f>
        <v>0</v>
      </c>
      <c r="K18" s="98">
        <f>SUMIFS('0501 4度C'!$Y:$Y,'0501 4度C'!$A:$A,"新豐8線",'0501 4度C'!$B:$B,"平均")</f>
        <v>0</v>
      </c>
      <c r="L18" s="96">
        <f>SUMIFS('0501 4度C'!$Y:$Y,'0501 4度C'!$A:$A,"新豐9線",'0501 4度C'!$B:$B,"平均")</f>
        <v>0</v>
      </c>
      <c r="M18" s="97">
        <f>SUMIFS('0501 4度C'!$Y:$Y,'0501 4度C'!$A:$A,"新豐4線",'0501 4度C'!$B:$B,"平均")</f>
        <v>0</v>
      </c>
    </row>
    <row r="19" spans="2:13" ht="17.25" customHeight="1">
      <c r="B19" s="506"/>
      <c r="C19" s="94" t="s">
        <v>172</v>
      </c>
      <c r="D19" s="95">
        <f>SUMIFS('0501 4度C'!$Z:$Z,'0501 4度C'!$A:$A,"新豐6線",'0501 4度C'!$B:$B,"平均")</f>
        <v>0</v>
      </c>
      <c r="E19" s="96">
        <f>SUMIFS('0501 4度C'!$Z:$Z,'0501 4度C'!$A:$A,"新豐2線",'0501 4度C'!$B:$B,"平均")</f>
        <v>0</v>
      </c>
      <c r="F19" s="96">
        <f>SUMIFS('0501 4度C'!$Z:$Z,'0501 4度C'!$A:$A,"新豐5線",'0501 4度C'!$B:$B,"平均")</f>
        <v>0</v>
      </c>
      <c r="G19" s="96">
        <f>SUMIFS('0501 4度C'!$Z:$Z,'0501 4度C'!$A:$A,"新豐7線",'0501 4度C'!$B:$B,"平均")</f>
        <v>0</v>
      </c>
      <c r="H19" s="96">
        <f>SUMIFS('0501 4度C'!$Z:$Z,'0501 4度C'!$A:$A,"新豐3線",'0501 4度C'!$B:$B,"平均")</f>
        <v>0</v>
      </c>
      <c r="I19" s="96">
        <f>SUMIFS('0501 4度C'!$Z:$Z,'0501 4度C'!$A:$A,"新豐1線",'0501 4度C'!$B:$B,"平均")</f>
        <v>0</v>
      </c>
      <c r="J19" s="97">
        <f>SUMIFS('0501 4度C'!$Z:$Z,'0501 4度C'!$A:$A,"新豐10線",'0501 4度C'!$B:$B,"平均")</f>
        <v>0</v>
      </c>
      <c r="K19" s="98">
        <f>SUMIFS('0501 4度C'!$Z:$Z,'0501 4度C'!$A:$A,"新豐8線",'0501 4度C'!$B:$B,"平均")</f>
        <v>0</v>
      </c>
      <c r="L19" s="96">
        <f>SUMIFS('0501 4度C'!$Z:$Z,'0501 4度C'!$A:$A,"新豐9線",'0501 4度C'!$B:$B,"平均")</f>
        <v>0</v>
      </c>
      <c r="M19" s="97">
        <f>SUMIFS('0501 4度C'!$Z:$Z,'0501 4度C'!$A:$A,"新豐4線",'0501 4度C'!$B:$B,"平均")</f>
        <v>0</v>
      </c>
    </row>
    <row r="20" spans="2:13" ht="17.25" customHeight="1">
      <c r="B20" s="505" t="s">
        <v>173</v>
      </c>
      <c r="C20" s="94" t="s">
        <v>171</v>
      </c>
      <c r="D20" s="95">
        <f>SUMIFS('0501 4度C'!$AC:$AC,'0501 4度C'!$A:$A,"新豐6線",'0501 4度C'!$B:$B,"平均")</f>
        <v>4</v>
      </c>
      <c r="E20" s="96">
        <f>SUMIFS('0501 4度C'!$AC:$AC,'0501 4度C'!$A:$A,"新豐2線",'0501 4度C'!$B:$B,"平均")</f>
        <v>2</v>
      </c>
      <c r="F20" s="96">
        <f>SUMIFS('0501 4度C'!$AC:$AC,'0501 4度C'!$A:$A,"新豐5線",'0501 4度C'!$B:$B,"平均")</f>
        <v>5</v>
      </c>
      <c r="G20" s="96">
        <f>SUMIFS('0501 4度C'!$AC:$AC,'0501 4度C'!$A:$A,"新豐7線",'0501 4度C'!$B:$B,"平均")</f>
        <v>6</v>
      </c>
      <c r="H20" s="96">
        <f>SUMIFS('0501 4度C'!$AC:$AC,'0501 4度C'!$A:$A,"新豐3線",'0501 4度C'!$B:$B,"平均")</f>
        <v>4</v>
      </c>
      <c r="I20" s="96">
        <f>SUMIFS('0501 4度C'!$AC:$AC,'0501 4度C'!$A:$A,"新豐1線",'0501 4度C'!$B:$B,"平均")</f>
        <v>6</v>
      </c>
      <c r="J20" s="97">
        <f>SUMIFS('0501 4度C'!$AC:$AC,'0501 4度C'!$A:$A,"新豐10線",'0501 4度C'!$B:$B,"平均")</f>
        <v>6</v>
      </c>
      <c r="K20" s="98">
        <f>SUMIFS('0501 4度C'!$AC:$AC,'0501 4度C'!$A:$A,"新豐8線",'0501 4度C'!$B:$B,"平均")</f>
        <v>5</v>
      </c>
      <c r="L20" s="96">
        <f>SUMIFS('0501 4度C'!$AC:$AC,'0501 4度C'!$A:$A,"新豐9線",'0501 4度C'!$B:$B,"平均")</f>
        <v>6</v>
      </c>
      <c r="M20" s="97">
        <f>SUMIFS('0501 4度C'!$AC:$AC,'0501 4度C'!$A:$A,"新豐4線",'0501 4度C'!$B:$B,"平均")</f>
        <v>6</v>
      </c>
    </row>
    <row r="21" spans="2:13" ht="17.25" customHeight="1">
      <c r="B21" s="506"/>
      <c r="C21" s="94" t="s">
        <v>174</v>
      </c>
      <c r="D21" s="95">
        <f>SUMIFS('0501 4度C'!$AD:$AD,'0501 4度C'!$A:$A,"新豐6線",'0501 4度C'!$B:$B,"平均")</f>
        <v>0</v>
      </c>
      <c r="E21" s="96">
        <f>SUMIFS('0501 4度C'!$AD:$AD,'0501 4度C'!$A:$A,"新豐2線",'0501 4度C'!$B:$B,"平均")</f>
        <v>0</v>
      </c>
      <c r="F21" s="96">
        <f>SUMIFS('0501 4度C'!$AD:$AD,'0501 4度C'!$A:$A,"新豐5線",'0501 4度C'!$B:$B,"平均")</f>
        <v>0</v>
      </c>
      <c r="G21" s="96">
        <f>SUMIFS('0501 4度C'!$AD:$AD,'0501 4度C'!$A:$A,"新豐7線",'0501 4度C'!$B:$B,"平均")</f>
        <v>0</v>
      </c>
      <c r="H21" s="96">
        <f>SUMIFS('0501 4度C'!$AD:$AD,'0501 4度C'!$A:$A,"新豐3線",'0501 4度C'!$B:$B,"平均")</f>
        <v>0</v>
      </c>
      <c r="I21" s="96">
        <f>SUMIFS('0501 4度C'!$AD:$AD,'0501 4度C'!$A:$A,"新豐1線",'0501 4度C'!$B:$B,"平均")</f>
        <v>0</v>
      </c>
      <c r="J21" s="97">
        <f>SUMIFS('0501 4度C'!$AD:$AD,'0501 4度C'!$A:$A,"新豐10線",'0501 4度C'!$B:$B,"平均")</f>
        <v>0</v>
      </c>
      <c r="K21" s="98">
        <f>SUMIFS('0501 4度C'!$AD:$AD,'0501 4度C'!$A:$A,"新豐8線",'0501 4度C'!$B:$B,"平均")</f>
        <v>0</v>
      </c>
      <c r="L21" s="96">
        <f>SUMIFS('0501 4度C'!$AD:$AD,'0501 4度C'!$A:$A,"新豐9線",'0501 4度C'!$B:$B,"平均")</f>
        <v>0</v>
      </c>
      <c r="M21" s="97">
        <f>SUMIFS('0501 4度C'!$AD:$AD,'0501 4度C'!$A:$A,"新豐4線",'0501 4度C'!$B:$B,"平均")</f>
        <v>0</v>
      </c>
    </row>
    <row r="22" spans="2:13" ht="17.25" customHeight="1">
      <c r="B22" s="507" t="s">
        <v>175</v>
      </c>
      <c r="C22" s="508"/>
      <c r="D22" s="99">
        <f>SUMIFS('0501 4度C'!$I:$I,'0501 4度C'!$A:$A,"新豐6線",'0501 4度C'!$B:$B,"平均")</f>
        <v>16.75</v>
      </c>
      <c r="E22" s="100">
        <f>SUMIFS('0501 4度C'!$I:$I,'0501 4度C'!$A:$A,"新豐2線",'0501 4度C'!$B:$B,"平均")</f>
        <v>18</v>
      </c>
      <c r="F22" s="100">
        <f>SUMIFS('0501 4度C'!$I:$I,'0501 4度C'!$A:$A,"新豐5線",'0501 4度C'!$B:$B,"平均")</f>
        <v>17.399999999999999</v>
      </c>
      <c r="G22" s="100">
        <f>SUMIFS('0501 4度C'!$I:$I,'0501 4度C'!$A:$A,"新豐7線",'0501 4度C'!$B:$B,"平均")</f>
        <v>16.166666666666668</v>
      </c>
      <c r="H22" s="100">
        <f>SUMIFS('0501 4度C'!$I:$I,'0501 4度C'!$A:$A,"新豐3線",'0501 4度C'!$B:$B,"平均")</f>
        <v>10.75</v>
      </c>
      <c r="I22" s="100">
        <f>SUMIFS('0501 4度C'!$I:$I,'0501 4度C'!$A:$A,"新豐1線",'0501 4度C'!$B:$B,"平均")</f>
        <v>19.333333333333332</v>
      </c>
      <c r="J22" s="101">
        <f>SUMIFS('0501 4度C'!$I:$I,'0501 4度C'!$A:$A,"新豐10線",'0501 4度C'!$B:$B,"平均")</f>
        <v>9.5</v>
      </c>
      <c r="K22" s="99">
        <f>SUMIFS('0501 4度C'!$I:$I,'0501 4度C'!$A:$A,"新豐8線",'0501 4度C'!$B:$B,"平均")</f>
        <v>17.8</v>
      </c>
      <c r="L22" s="100">
        <f>SUMIFS('0501 4度C'!$I:$I,'0501 4度C'!$A:$A,"新豐9線",'0501 4度C'!$B:$B,"平均")</f>
        <v>17</v>
      </c>
      <c r="M22" s="101">
        <f>SUMIFS('0501 4度C'!$I:$I,'0501 4度C'!$A:$A,"新豐4線",'0501 4度C'!$B:$B,"平均")</f>
        <v>15.666666666666666</v>
      </c>
    </row>
    <row r="23" spans="2:13" ht="17.25" customHeight="1">
      <c r="B23" s="507" t="s">
        <v>176</v>
      </c>
      <c r="C23" s="508"/>
      <c r="D23" s="102" t="s">
        <v>177</v>
      </c>
      <c r="E23" s="103" t="s">
        <v>178</v>
      </c>
      <c r="F23" s="103" t="s">
        <v>179</v>
      </c>
      <c r="G23" s="103" t="s">
        <v>179</v>
      </c>
      <c r="H23" s="103" t="s">
        <v>180</v>
      </c>
      <c r="I23" s="103" t="s">
        <v>177</v>
      </c>
      <c r="J23" s="104" t="s">
        <v>180</v>
      </c>
      <c r="K23" s="102" t="s">
        <v>181</v>
      </c>
      <c r="L23" s="103" t="s">
        <v>182</v>
      </c>
      <c r="M23" s="104" t="s">
        <v>182</v>
      </c>
    </row>
    <row r="24" spans="2:13" ht="17.25" customHeight="1">
      <c r="B24" s="507" t="s">
        <v>183</v>
      </c>
      <c r="C24" s="508"/>
      <c r="D24" s="102"/>
      <c r="E24" s="103"/>
      <c r="F24" s="103" t="s">
        <v>184</v>
      </c>
      <c r="G24" s="103" t="s">
        <v>177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09" t="s">
        <v>185</v>
      </c>
      <c r="C25" s="510"/>
      <c r="D25" s="105"/>
      <c r="E25" s="106" t="s">
        <v>186</v>
      </c>
      <c r="F25" s="503" t="s">
        <v>187</v>
      </c>
      <c r="G25" s="504"/>
      <c r="H25" s="106" t="s">
        <v>188</v>
      </c>
      <c r="I25" s="106" t="s">
        <v>189</v>
      </c>
      <c r="J25" s="107" t="s">
        <v>190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1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4">
    <pageSetUpPr fitToPage="1"/>
  </sheetPr>
  <dimension ref="A1:AG65"/>
  <sheetViews>
    <sheetView zoomScale="80" zoomScaleNormal="80" workbookViewId="0">
      <pane ySplit="4" topLeftCell="A5" activePane="bottomLeft" state="frozen"/>
      <selection activeCell="J13" sqref="J13"/>
      <selection pane="bottomLeft" activeCell="E11" sqref="E11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6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SUM(F5:F64)</f>
        <v>136753</v>
      </c>
      <c r="E1" s="4" t="s">
        <v>2</v>
      </c>
      <c r="F1" s="1">
        <f>SUM(G5:G64)</f>
        <v>4683252.0599999996</v>
      </c>
      <c r="G1" s="1" t="s">
        <v>3</v>
      </c>
      <c r="H1" s="5">
        <f>L9+L12+L43+L50+L18+L57+L31+L38+L25+L64</f>
        <v>158.36666666666665</v>
      </c>
      <c r="I1" s="617" t="s">
        <v>4</v>
      </c>
      <c r="J1" s="617"/>
      <c r="K1" s="617"/>
      <c r="L1" s="617" t="s">
        <v>5</v>
      </c>
      <c r="M1" s="617"/>
      <c r="N1" s="617"/>
      <c r="O1" s="617" t="s">
        <v>6</v>
      </c>
      <c r="P1" s="617"/>
      <c r="Q1" s="617"/>
      <c r="R1" s="617"/>
      <c r="S1" s="617" t="s">
        <v>7</v>
      </c>
      <c r="T1" s="617"/>
      <c r="U1" s="617"/>
      <c r="V1" s="617"/>
      <c r="W1" s="617"/>
      <c r="X1" s="617"/>
      <c r="Y1" s="6" t="s">
        <v>8</v>
      </c>
      <c r="Z1" s="7" t="s">
        <v>9</v>
      </c>
      <c r="AA1" s="618" t="s">
        <v>10</v>
      </c>
      <c r="AB1" s="618"/>
      <c r="AC1" s="8" t="s">
        <v>8</v>
      </c>
      <c r="AD1" s="7" t="s">
        <v>11</v>
      </c>
      <c r="AE1" s="617" t="s">
        <v>12</v>
      </c>
      <c r="AF1" s="619"/>
      <c r="AG1" s="619"/>
    </row>
    <row r="2" spans="1:33" ht="26.25" customHeight="1">
      <c r="A2" s="37">
        <v>46143</v>
      </c>
      <c r="B2" s="38" t="s">
        <v>73</v>
      </c>
      <c r="C2" s="2" t="s">
        <v>13</v>
      </c>
      <c r="D2" s="10">
        <f>AVERAGE(N9,N12,N43,N50,N18,N57,N25,N31,N38,N64)</f>
        <v>145.07841221311438</v>
      </c>
      <c r="E2" s="11" t="s">
        <v>14</v>
      </c>
      <c r="F2" s="12">
        <f>F1/D1</f>
        <v>34.246064510467775</v>
      </c>
      <c r="G2" s="1" t="s">
        <v>15</v>
      </c>
      <c r="H2" s="13">
        <f>COUNT(H5:H64)</f>
        <v>3</v>
      </c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14">
        <f>SUM(Y9+Y12+Y18+Y25+Y31+Y38+Y43+Y50+Y57+Y64)</f>
        <v>0</v>
      </c>
      <c r="Z2" s="14">
        <f>SUM(Z9+Z12+Z18+Z25+Z31+Z38+Z43+Z50+Z57+Z64)</f>
        <v>0</v>
      </c>
      <c r="AA2" s="618"/>
      <c r="AB2" s="618"/>
      <c r="AC2" s="14">
        <f>SUM(AC9+AC12+AC18+AC25+AC31+AC38+AC43+AC50+AC57+AC64)</f>
        <v>50</v>
      </c>
      <c r="AD2" s="14">
        <f>SUM(AD9+AD12+AD18+AD25+AD31+AD38+AD43+AD50+AD57+AD64)</f>
        <v>0</v>
      </c>
      <c r="AE2" s="619"/>
      <c r="AF2" s="619"/>
      <c r="AG2" s="619"/>
    </row>
    <row r="3" spans="1:33" ht="40.5" customHeight="1">
      <c r="A3" s="575" t="s">
        <v>16</v>
      </c>
      <c r="B3" s="575" t="s">
        <v>17</v>
      </c>
      <c r="C3" s="575" t="s">
        <v>18</v>
      </c>
      <c r="D3" s="575"/>
      <c r="E3" s="615" t="s">
        <v>19</v>
      </c>
      <c r="F3" s="575" t="s">
        <v>20</v>
      </c>
      <c r="G3" s="615" t="s">
        <v>21</v>
      </c>
      <c r="H3" s="608" t="s">
        <v>22</v>
      </c>
      <c r="I3" s="606" t="s">
        <v>23</v>
      </c>
      <c r="J3" s="603" t="s">
        <v>24</v>
      </c>
      <c r="K3" s="613" t="s">
        <v>13</v>
      </c>
      <c r="L3" s="606" t="s">
        <v>23</v>
      </c>
      <c r="M3" s="603" t="s">
        <v>25</v>
      </c>
      <c r="N3" s="613" t="s">
        <v>13</v>
      </c>
      <c r="O3" s="606" t="s">
        <v>23</v>
      </c>
      <c r="P3" s="613" t="s">
        <v>13</v>
      </c>
      <c r="Q3" s="604" t="s">
        <v>26</v>
      </c>
      <c r="R3" s="582" t="s">
        <v>27</v>
      </c>
      <c r="S3" s="575" t="s">
        <v>28</v>
      </c>
      <c r="T3" s="575"/>
      <c r="U3" s="608" t="s">
        <v>29</v>
      </c>
      <c r="V3" s="608" t="s">
        <v>30</v>
      </c>
      <c r="W3" s="575" t="s">
        <v>31</v>
      </c>
      <c r="X3" s="575"/>
      <c r="Y3" s="609" t="s">
        <v>32</v>
      </c>
      <c r="Z3" s="572"/>
      <c r="AA3" s="610" t="s">
        <v>33</v>
      </c>
      <c r="AB3" s="611"/>
      <c r="AC3" s="609" t="s">
        <v>34</v>
      </c>
      <c r="AD3" s="572"/>
      <c r="AE3" s="603" t="s">
        <v>25</v>
      </c>
      <c r="AF3" s="604" t="s">
        <v>35</v>
      </c>
      <c r="AG3" s="582" t="s">
        <v>27</v>
      </c>
    </row>
    <row r="4" spans="1:33" ht="15.75" customHeight="1">
      <c r="A4" s="575"/>
      <c r="B4" s="575"/>
      <c r="C4" s="575"/>
      <c r="D4" s="575"/>
      <c r="E4" s="616"/>
      <c r="F4" s="575"/>
      <c r="G4" s="616"/>
      <c r="H4" s="608"/>
      <c r="I4" s="606"/>
      <c r="J4" s="603"/>
      <c r="K4" s="613"/>
      <c r="L4" s="606"/>
      <c r="M4" s="603"/>
      <c r="N4" s="613"/>
      <c r="O4" s="606"/>
      <c r="P4" s="613"/>
      <c r="Q4" s="604"/>
      <c r="R4" s="582"/>
      <c r="S4" s="4" t="s">
        <v>36</v>
      </c>
      <c r="T4" s="4" t="s">
        <v>37</v>
      </c>
      <c r="U4" s="608"/>
      <c r="V4" s="608"/>
      <c r="W4" s="4" t="s">
        <v>38</v>
      </c>
      <c r="X4" s="4" t="s">
        <v>39</v>
      </c>
      <c r="Y4" s="16" t="s">
        <v>40</v>
      </c>
      <c r="Z4" s="16" t="s">
        <v>41</v>
      </c>
      <c r="AA4" s="612"/>
      <c r="AB4" s="611"/>
      <c r="AC4" s="16" t="s">
        <v>42</v>
      </c>
      <c r="AD4" s="16" t="s">
        <v>43</v>
      </c>
      <c r="AE4" s="603"/>
      <c r="AF4" s="604"/>
      <c r="AG4" s="582"/>
    </row>
    <row r="5" spans="1:33">
      <c r="A5" s="605" t="s">
        <v>44</v>
      </c>
      <c r="B5" s="39" t="s">
        <v>74</v>
      </c>
      <c r="C5" s="607" t="s">
        <v>75</v>
      </c>
      <c r="D5" s="607"/>
      <c r="E5" s="39">
        <v>50.67</v>
      </c>
      <c r="F5" s="40">
        <v>1181</v>
      </c>
      <c r="G5" s="4">
        <f t="shared" ref="G5:G8" si="0">E5*F5</f>
        <v>59841.270000000004</v>
      </c>
      <c r="H5" s="48" t="s">
        <v>126</v>
      </c>
      <c r="I5" s="17">
        <v>17</v>
      </c>
      <c r="J5" s="43">
        <v>2000</v>
      </c>
      <c r="K5" s="18">
        <f t="shared" ref="K5:K24" si="1">J5/I5</f>
        <v>117.64705882352941</v>
      </c>
      <c r="L5" s="17">
        <v>17</v>
      </c>
      <c r="M5" s="19">
        <f t="shared" ref="M5:M8" si="2">F5/V5*60</f>
        <v>1915.1351351351336</v>
      </c>
      <c r="N5" s="18">
        <f t="shared" ref="N5:N24" si="3">M5/L5</f>
        <v>112.6550079491255</v>
      </c>
      <c r="O5" s="20">
        <f t="shared" ref="O5:O24" si="4">L5-I5</f>
        <v>0</v>
      </c>
      <c r="P5" s="21">
        <f t="shared" ref="P5:P24" si="5">N5-K5</f>
        <v>-4.9920508744039012</v>
      </c>
      <c r="Q5" s="22">
        <f t="shared" ref="Q5:Q24" si="6">N5/K5</f>
        <v>0.95756756756756689</v>
      </c>
      <c r="R5" s="573">
        <f>Q9</f>
        <v>0.96359524117418782</v>
      </c>
      <c r="S5" s="49">
        <v>0.70833333333333337</v>
      </c>
      <c r="T5" s="49">
        <v>0.73402777777777783</v>
      </c>
      <c r="U5" s="4"/>
      <c r="V5" s="24">
        <f t="shared" ref="V5:V8" si="7">(T5-S5)*24*60</f>
        <v>37.000000000000028</v>
      </c>
      <c r="W5" s="25"/>
      <c r="X5" s="26"/>
      <c r="Y5" s="26"/>
      <c r="Z5" s="26"/>
      <c r="AA5" s="575"/>
      <c r="AB5" s="575"/>
      <c r="AC5" s="50">
        <v>4</v>
      </c>
      <c r="AD5" s="27"/>
      <c r="AE5" s="20">
        <f t="shared" ref="AE5:AE24" si="8">M5-J5</f>
        <v>-84.864864864866377</v>
      </c>
      <c r="AF5" s="22">
        <f t="shared" ref="AF5:AF24" si="9">M5/J5</f>
        <v>0.95756756756756678</v>
      </c>
      <c r="AG5" s="573">
        <f>AF9</f>
        <v>0.96359524117418782</v>
      </c>
    </row>
    <row r="6" spans="1:33">
      <c r="A6" s="606" t="s">
        <v>44</v>
      </c>
      <c r="B6" s="39" t="s">
        <v>74</v>
      </c>
      <c r="C6" s="607" t="s">
        <v>76</v>
      </c>
      <c r="D6" s="607"/>
      <c r="E6" s="39">
        <v>54.09</v>
      </c>
      <c r="F6" s="40">
        <v>1054</v>
      </c>
      <c r="G6" s="4">
        <f t="shared" si="0"/>
        <v>57010.86</v>
      </c>
      <c r="H6" s="48" t="s">
        <v>126</v>
      </c>
      <c r="I6" s="17">
        <v>19</v>
      </c>
      <c r="J6" s="43">
        <v>2000</v>
      </c>
      <c r="K6" s="18">
        <f t="shared" si="1"/>
        <v>105.26315789473684</v>
      </c>
      <c r="L6" s="17">
        <v>19</v>
      </c>
      <c r="M6" s="19">
        <f t="shared" si="2"/>
        <v>1916.363636363634</v>
      </c>
      <c r="N6" s="18">
        <f t="shared" si="3"/>
        <v>100.86124401913862</v>
      </c>
      <c r="O6" s="20">
        <f t="shared" si="4"/>
        <v>0</v>
      </c>
      <c r="P6" s="21">
        <f t="shared" si="5"/>
        <v>-4.4019138755982112</v>
      </c>
      <c r="Q6" s="22">
        <f t="shared" si="6"/>
        <v>0.95818181818181702</v>
      </c>
      <c r="R6" s="573"/>
      <c r="S6" s="49">
        <v>0.73819444444444449</v>
      </c>
      <c r="T6" s="49">
        <v>0.76111111111111118</v>
      </c>
      <c r="U6" s="4">
        <f t="shared" ref="U6:U8" si="10">IF(S6=TIME(17,0,0),"",(S6-T5)*24*60)</f>
        <v>5.9999999999999787</v>
      </c>
      <c r="V6" s="24">
        <f t="shared" si="7"/>
        <v>33.000000000000043</v>
      </c>
      <c r="W6" s="25"/>
      <c r="X6" s="25"/>
      <c r="Y6" s="25"/>
      <c r="Z6" s="25"/>
      <c r="AA6" s="575"/>
      <c r="AB6" s="575"/>
      <c r="AC6" s="50"/>
      <c r="AD6" s="27"/>
      <c r="AE6" s="20">
        <f t="shared" si="8"/>
        <v>-83.636363636366013</v>
      </c>
      <c r="AF6" s="22">
        <f t="shared" si="9"/>
        <v>0.95818181818181702</v>
      </c>
      <c r="AG6" s="573"/>
    </row>
    <row r="7" spans="1:33">
      <c r="A7" s="606" t="s">
        <v>44</v>
      </c>
      <c r="B7" s="39" t="s">
        <v>74</v>
      </c>
      <c r="C7" s="598" t="s">
        <v>77</v>
      </c>
      <c r="D7" s="599"/>
      <c r="E7" s="39">
        <v>50.67</v>
      </c>
      <c r="F7" s="40">
        <v>1232</v>
      </c>
      <c r="G7" s="4">
        <f t="shared" si="0"/>
        <v>62425.440000000002</v>
      </c>
      <c r="H7" s="48" t="s">
        <v>126</v>
      </c>
      <c r="I7" s="17">
        <v>15</v>
      </c>
      <c r="J7" s="43">
        <v>2000</v>
      </c>
      <c r="K7" s="18">
        <f t="shared" si="1"/>
        <v>133.33333333333334</v>
      </c>
      <c r="L7" s="17">
        <v>15</v>
      </c>
      <c r="M7" s="19">
        <f t="shared" si="2"/>
        <v>1945.2631578947355</v>
      </c>
      <c r="N7" s="18">
        <f t="shared" si="3"/>
        <v>129.6842105263157</v>
      </c>
      <c r="O7" s="20">
        <f t="shared" si="4"/>
        <v>0</v>
      </c>
      <c r="P7" s="21">
        <f t="shared" si="5"/>
        <v>-3.6491228070176476</v>
      </c>
      <c r="Q7" s="22">
        <f t="shared" si="6"/>
        <v>0.97263157894736763</v>
      </c>
      <c r="R7" s="573"/>
      <c r="S7" s="49">
        <v>0.76666666666666672</v>
      </c>
      <c r="T7" s="49">
        <v>0.79305555555555562</v>
      </c>
      <c r="U7" s="4">
        <f t="shared" si="10"/>
        <v>7.9999999999999716</v>
      </c>
      <c r="V7" s="24">
        <f t="shared" si="7"/>
        <v>38.000000000000028</v>
      </c>
      <c r="W7" s="25"/>
      <c r="X7" s="25"/>
      <c r="Y7" s="28"/>
      <c r="Z7" s="28"/>
      <c r="AA7" s="568"/>
      <c r="AB7" s="569"/>
      <c r="AC7" s="50"/>
      <c r="AD7" s="29"/>
      <c r="AE7" s="20">
        <f t="shared" si="8"/>
        <v>-54.736842105264486</v>
      </c>
      <c r="AF7" s="22">
        <f t="shared" si="9"/>
        <v>0.97263157894736774</v>
      </c>
      <c r="AG7" s="573"/>
    </row>
    <row r="8" spans="1:33">
      <c r="A8" s="606" t="s">
        <v>44</v>
      </c>
      <c r="B8" s="39" t="s">
        <v>74</v>
      </c>
      <c r="C8" s="598" t="s">
        <v>78</v>
      </c>
      <c r="D8" s="599"/>
      <c r="E8" s="39">
        <v>52.86</v>
      </c>
      <c r="F8" s="40">
        <v>1288</v>
      </c>
      <c r="G8" s="4">
        <f t="shared" si="0"/>
        <v>68083.679999999993</v>
      </c>
      <c r="H8" s="48" t="s">
        <v>126</v>
      </c>
      <c r="I8" s="17">
        <v>16</v>
      </c>
      <c r="J8" s="43">
        <v>2000</v>
      </c>
      <c r="K8" s="18">
        <f t="shared" si="1"/>
        <v>125</v>
      </c>
      <c r="L8" s="17">
        <v>16</v>
      </c>
      <c r="M8" s="19">
        <f t="shared" si="2"/>
        <v>1931.9999999999993</v>
      </c>
      <c r="N8" s="18">
        <f t="shared" si="3"/>
        <v>120.74999999999996</v>
      </c>
      <c r="O8" s="20">
        <f t="shared" si="4"/>
        <v>0</v>
      </c>
      <c r="P8" s="21">
        <f t="shared" si="5"/>
        <v>-4.2500000000000426</v>
      </c>
      <c r="Q8" s="22">
        <f t="shared" si="6"/>
        <v>0.96599999999999964</v>
      </c>
      <c r="R8" s="573"/>
      <c r="S8" s="49">
        <v>0.79861111111111116</v>
      </c>
      <c r="T8" s="49">
        <v>0.82638888888888895</v>
      </c>
      <c r="U8" s="4">
        <f t="shared" si="10"/>
        <v>7.9999999999999716</v>
      </c>
      <c r="V8" s="24">
        <f t="shared" si="7"/>
        <v>40.000000000000014</v>
      </c>
      <c r="W8" s="30"/>
      <c r="X8" s="30"/>
      <c r="Y8" s="31"/>
      <c r="Z8" s="31"/>
      <c r="AA8" s="568"/>
      <c r="AB8" s="569"/>
      <c r="AC8" s="50"/>
      <c r="AD8" s="29"/>
      <c r="AE8" s="20">
        <f t="shared" si="8"/>
        <v>-68.000000000000682</v>
      </c>
      <c r="AF8" s="22">
        <f t="shared" si="9"/>
        <v>0.96599999999999964</v>
      </c>
      <c r="AG8" s="573"/>
    </row>
    <row r="9" spans="1:33">
      <c r="A9" s="606" t="s">
        <v>45</v>
      </c>
      <c r="B9" s="39" t="s">
        <v>46</v>
      </c>
      <c r="C9" s="576"/>
      <c r="D9" s="576"/>
      <c r="E9" s="41"/>
      <c r="F9" s="42"/>
      <c r="G9" s="18"/>
      <c r="H9" s="40"/>
      <c r="I9" s="32">
        <v>16.75</v>
      </c>
      <c r="J9" s="43">
        <v>2000</v>
      </c>
      <c r="K9" s="18">
        <f t="shared" si="1"/>
        <v>119.40298507462687</v>
      </c>
      <c r="L9" s="32">
        <v>16.75</v>
      </c>
      <c r="M9" s="19">
        <f>AVERAGE(M5:M8)</f>
        <v>1927.1904823483756</v>
      </c>
      <c r="N9" s="18">
        <f t="shared" si="3"/>
        <v>115.05614819990302</v>
      </c>
      <c r="O9" s="20">
        <f t="shared" si="4"/>
        <v>0</v>
      </c>
      <c r="P9" s="21">
        <f t="shared" si="5"/>
        <v>-4.3468368747238486</v>
      </c>
      <c r="Q9" s="22">
        <f t="shared" si="6"/>
        <v>0.96359524117418782</v>
      </c>
      <c r="R9" s="573"/>
      <c r="S9" s="49"/>
      <c r="T9" s="49"/>
      <c r="U9" s="4"/>
      <c r="V9" s="24"/>
      <c r="W9" s="18"/>
      <c r="X9" s="18"/>
      <c r="Y9" s="33">
        <f>SUM(Y5:Y8)</f>
        <v>0</v>
      </c>
      <c r="Z9" s="33">
        <f>SUM(Z5:Z8)</f>
        <v>0</v>
      </c>
      <c r="AA9" s="572"/>
      <c r="AB9" s="572"/>
      <c r="AC9" s="33">
        <f>SUM(AC5:AC8)</f>
        <v>4</v>
      </c>
      <c r="AD9" s="33">
        <f>SUM(AD5:AD8)</f>
        <v>0</v>
      </c>
      <c r="AE9" s="20">
        <f t="shared" si="8"/>
        <v>-72.809517651624446</v>
      </c>
      <c r="AF9" s="22">
        <f t="shared" si="9"/>
        <v>0.96359524117418782</v>
      </c>
      <c r="AG9" s="573"/>
    </row>
    <row r="10" spans="1:33" ht="15.75" customHeight="1">
      <c r="A10" s="602" t="s">
        <v>47</v>
      </c>
      <c r="B10" s="39" t="s">
        <v>79</v>
      </c>
      <c r="C10" s="598" t="s">
        <v>80</v>
      </c>
      <c r="D10" s="599"/>
      <c r="E10" s="39">
        <v>39.619999999999997</v>
      </c>
      <c r="F10" s="40">
        <v>3602</v>
      </c>
      <c r="G10" s="4">
        <f t="shared" ref="G10:G11" si="11">E10*F10</f>
        <v>142711.24</v>
      </c>
      <c r="H10" s="48" t="s">
        <v>126</v>
      </c>
      <c r="I10" s="17">
        <v>19</v>
      </c>
      <c r="J10" s="43">
        <v>1500</v>
      </c>
      <c r="K10" s="18">
        <f t="shared" si="1"/>
        <v>78.94736842105263</v>
      </c>
      <c r="L10" s="17">
        <v>19</v>
      </c>
      <c r="M10" s="19">
        <f t="shared" ref="M10:M11" si="12">F10/V10*60</f>
        <v>1431.2582781456954</v>
      </c>
      <c r="N10" s="18">
        <f t="shared" si="3"/>
        <v>75.329383060299762</v>
      </c>
      <c r="O10" s="20">
        <f t="shared" si="4"/>
        <v>0</v>
      </c>
      <c r="P10" s="21">
        <f t="shared" si="5"/>
        <v>-3.6179853607528685</v>
      </c>
      <c r="Q10" s="22">
        <f t="shared" si="6"/>
        <v>0.95417218543046367</v>
      </c>
      <c r="R10" s="573">
        <f>Q12</f>
        <v>0.95491414701387434</v>
      </c>
      <c r="S10" s="49">
        <v>0.20833333333333334</v>
      </c>
      <c r="T10" s="49">
        <v>0.31319444444444444</v>
      </c>
      <c r="U10" s="4"/>
      <c r="V10" s="24">
        <f t="shared" ref="V10:V11" si="13">(T10-S10)*24*60</f>
        <v>151</v>
      </c>
      <c r="W10" s="25"/>
      <c r="X10" s="25"/>
      <c r="Y10" s="25"/>
      <c r="Z10" s="25"/>
      <c r="AA10" s="575"/>
      <c r="AB10" s="575"/>
      <c r="AC10" s="50">
        <v>2</v>
      </c>
      <c r="AD10" s="27"/>
      <c r="AE10" s="20">
        <f t="shared" si="8"/>
        <v>-68.741721854304615</v>
      </c>
      <c r="AF10" s="22">
        <f t="shared" si="9"/>
        <v>0.95417218543046356</v>
      </c>
      <c r="AG10" s="573">
        <f>AF12</f>
        <v>0.95491414701387434</v>
      </c>
    </row>
    <row r="11" spans="1:33" ht="15.75" customHeight="1">
      <c r="A11" s="602" t="s">
        <v>47</v>
      </c>
      <c r="B11" s="39" t="s">
        <v>79</v>
      </c>
      <c r="C11" s="598" t="s">
        <v>81</v>
      </c>
      <c r="D11" s="599"/>
      <c r="E11" s="39">
        <v>39.799999999999997</v>
      </c>
      <c r="F11" s="40">
        <v>5280</v>
      </c>
      <c r="G11" s="4">
        <f t="shared" si="11"/>
        <v>210143.99999999997</v>
      </c>
      <c r="H11" s="48" t="s">
        <v>126</v>
      </c>
      <c r="I11" s="17">
        <v>17</v>
      </c>
      <c r="J11" s="43">
        <v>1500</v>
      </c>
      <c r="K11" s="18">
        <f t="shared" si="1"/>
        <v>88.235294117647058</v>
      </c>
      <c r="L11" s="17">
        <v>17</v>
      </c>
      <c r="M11" s="19">
        <f t="shared" si="12"/>
        <v>1433.4841628959275</v>
      </c>
      <c r="N11" s="18">
        <f t="shared" si="3"/>
        <v>84.322597817407498</v>
      </c>
      <c r="O11" s="20">
        <f t="shared" si="4"/>
        <v>0</v>
      </c>
      <c r="P11" s="21">
        <f t="shared" si="5"/>
        <v>-3.9126963002395598</v>
      </c>
      <c r="Q11" s="22">
        <f t="shared" si="6"/>
        <v>0.955656108597285</v>
      </c>
      <c r="R11" s="573"/>
      <c r="S11" s="49">
        <v>0.31666666666666665</v>
      </c>
      <c r="T11" s="49">
        <v>0.47013888888888888</v>
      </c>
      <c r="U11" s="4">
        <f t="shared" ref="U11" si="14">IF(S11=TIME(17,0,0),"",(S11-T10)*24*60)</f>
        <v>4.9999999999999822</v>
      </c>
      <c r="V11" s="24">
        <f t="shared" si="13"/>
        <v>221</v>
      </c>
      <c r="W11" s="25"/>
      <c r="X11" s="25"/>
      <c r="Y11" s="25"/>
      <c r="Z11" s="25"/>
      <c r="AA11" s="575"/>
      <c r="AB11" s="575"/>
      <c r="AC11" s="50"/>
      <c r="AD11" s="27"/>
      <c r="AE11" s="20">
        <f t="shared" si="8"/>
        <v>-66.515837104072489</v>
      </c>
      <c r="AF11" s="22">
        <f t="shared" si="9"/>
        <v>0.955656108597285</v>
      </c>
      <c r="AG11" s="573"/>
    </row>
    <row r="12" spans="1:33" ht="16.5" customHeight="1">
      <c r="A12" s="602" t="s">
        <v>48</v>
      </c>
      <c r="B12" s="39" t="s">
        <v>49</v>
      </c>
      <c r="C12" s="576"/>
      <c r="D12" s="576"/>
      <c r="E12" s="41"/>
      <c r="F12" s="43"/>
      <c r="G12" s="19"/>
      <c r="H12" s="40"/>
      <c r="I12" s="32">
        <v>18</v>
      </c>
      <c r="J12" s="43">
        <v>1500</v>
      </c>
      <c r="K12" s="18">
        <f t="shared" si="1"/>
        <v>83.333333333333329</v>
      </c>
      <c r="L12" s="32">
        <v>18</v>
      </c>
      <c r="M12" s="19">
        <f>AVERAGE(M10:M11)</f>
        <v>1432.3712205208114</v>
      </c>
      <c r="N12" s="18">
        <f t="shared" si="3"/>
        <v>79.576178917822858</v>
      </c>
      <c r="O12" s="20">
        <f t="shared" si="4"/>
        <v>0</v>
      </c>
      <c r="P12" s="21">
        <f t="shared" si="5"/>
        <v>-3.7571544155104704</v>
      </c>
      <c r="Q12" s="22">
        <f t="shared" si="6"/>
        <v>0.95491414701387434</v>
      </c>
      <c r="R12" s="573"/>
      <c r="S12" s="49"/>
      <c r="T12" s="49"/>
      <c r="U12" s="18"/>
      <c r="V12" s="24"/>
      <c r="W12" s="18"/>
      <c r="X12" s="18"/>
      <c r="Y12" s="33">
        <f>SUM(Y10:Y11)</f>
        <v>0</v>
      </c>
      <c r="Z12" s="33">
        <f>SUM(Z10:Z11)</f>
        <v>0</v>
      </c>
      <c r="AA12" s="572"/>
      <c r="AB12" s="572"/>
      <c r="AC12" s="33">
        <f>SUM(AC10:AC11)</f>
        <v>2</v>
      </c>
      <c r="AD12" s="33">
        <f>SUM(AD10:AD11)</f>
        <v>0</v>
      </c>
      <c r="AE12" s="20">
        <f t="shared" si="8"/>
        <v>-67.628779479188552</v>
      </c>
      <c r="AF12" s="22">
        <f t="shared" si="9"/>
        <v>0.95491414701387434</v>
      </c>
      <c r="AG12" s="573"/>
    </row>
    <row r="13" spans="1:33" ht="16.5" customHeight="1">
      <c r="A13" s="600" t="s">
        <v>50</v>
      </c>
      <c r="B13" s="40" t="s">
        <v>82</v>
      </c>
      <c r="C13" s="594" t="s">
        <v>83</v>
      </c>
      <c r="D13" s="594"/>
      <c r="E13" s="39">
        <v>41</v>
      </c>
      <c r="F13" s="40">
        <v>1690</v>
      </c>
      <c r="G13" s="4">
        <f t="shared" ref="G13:G17" si="15">E13*F13</f>
        <v>69290</v>
      </c>
      <c r="H13" s="48" t="s">
        <v>126</v>
      </c>
      <c r="I13" s="17">
        <v>26</v>
      </c>
      <c r="J13" s="43">
        <v>1500</v>
      </c>
      <c r="K13" s="18">
        <f t="shared" si="1"/>
        <v>57.692307692307693</v>
      </c>
      <c r="L13" s="17">
        <v>26</v>
      </c>
      <c r="M13" s="19">
        <f t="shared" ref="M13:M17" si="16">F13/V13*60</f>
        <v>1448.571428571428</v>
      </c>
      <c r="N13" s="18">
        <f t="shared" si="3"/>
        <v>55.714285714285694</v>
      </c>
      <c r="O13" s="20">
        <f t="shared" si="4"/>
        <v>0</v>
      </c>
      <c r="P13" s="21">
        <f t="shared" si="5"/>
        <v>-1.9780219780219994</v>
      </c>
      <c r="Q13" s="22">
        <f t="shared" si="6"/>
        <v>0.9657142857142853</v>
      </c>
      <c r="R13" s="573">
        <f>Q18</f>
        <v>0.96382376425073057</v>
      </c>
      <c r="S13" s="49">
        <v>0.20833333333333334</v>
      </c>
      <c r="T13" s="49">
        <v>0.25694444444444448</v>
      </c>
      <c r="U13" s="4"/>
      <c r="V13" s="24">
        <f t="shared" ref="V13:V17" si="17">(T13-S13)*24*60</f>
        <v>70.000000000000028</v>
      </c>
      <c r="W13" s="30"/>
      <c r="X13" s="30"/>
      <c r="Y13" s="30"/>
      <c r="Z13" s="30"/>
      <c r="AA13" s="575"/>
      <c r="AB13" s="575"/>
      <c r="AC13" s="50">
        <v>5</v>
      </c>
      <c r="AD13" s="27"/>
      <c r="AE13" s="20">
        <f t="shared" si="8"/>
        <v>-51.428571428572013</v>
      </c>
      <c r="AF13" s="22">
        <f t="shared" si="9"/>
        <v>0.9657142857142853</v>
      </c>
      <c r="AG13" s="573">
        <f>AF18</f>
        <v>0.96382376425073057</v>
      </c>
    </row>
    <row r="14" spans="1:33" ht="16.5" customHeight="1">
      <c r="A14" s="601" t="s">
        <v>51</v>
      </c>
      <c r="B14" s="40" t="s">
        <v>74</v>
      </c>
      <c r="C14" s="594" t="s">
        <v>84</v>
      </c>
      <c r="D14" s="594"/>
      <c r="E14" s="39">
        <v>54.09</v>
      </c>
      <c r="F14" s="40">
        <v>2137</v>
      </c>
      <c r="G14" s="4">
        <f t="shared" si="15"/>
        <v>115590.33</v>
      </c>
      <c r="H14" s="48" t="s">
        <v>126</v>
      </c>
      <c r="I14" s="17">
        <v>17</v>
      </c>
      <c r="J14" s="43">
        <v>1500</v>
      </c>
      <c r="K14" s="18">
        <f t="shared" si="1"/>
        <v>88.235294117647058</v>
      </c>
      <c r="L14" s="17">
        <v>17</v>
      </c>
      <c r="M14" s="19">
        <f t="shared" si="16"/>
        <v>1440.6741573033707</v>
      </c>
      <c r="N14" s="18">
        <f t="shared" si="3"/>
        <v>84.74553866490416</v>
      </c>
      <c r="O14" s="20">
        <f t="shared" si="4"/>
        <v>0</v>
      </c>
      <c r="P14" s="21">
        <f t="shared" si="5"/>
        <v>-3.489755452742898</v>
      </c>
      <c r="Q14" s="22">
        <f t="shared" si="6"/>
        <v>0.96044943820224715</v>
      </c>
      <c r="R14" s="573"/>
      <c r="S14" s="49">
        <v>0.26111111111111113</v>
      </c>
      <c r="T14" s="49">
        <v>0.32291666666666669</v>
      </c>
      <c r="U14" s="4">
        <f t="shared" ref="U14:U17" si="18">IF(S14=TIME(17,0,0),"",(S14-T13)*24*60)</f>
        <v>5.9999999999999787</v>
      </c>
      <c r="V14" s="24">
        <f t="shared" si="17"/>
        <v>89</v>
      </c>
      <c r="W14" s="25"/>
      <c r="X14" s="25"/>
      <c r="Y14" s="25"/>
      <c r="Z14" s="25"/>
      <c r="AA14" s="575"/>
      <c r="AB14" s="575"/>
      <c r="AC14" s="50"/>
      <c r="AD14" s="27"/>
      <c r="AE14" s="20">
        <f t="shared" si="8"/>
        <v>-59.325842696629252</v>
      </c>
      <c r="AF14" s="22">
        <f t="shared" si="9"/>
        <v>0.96044943820224715</v>
      </c>
      <c r="AG14" s="573"/>
    </row>
    <row r="15" spans="1:33" ht="16.5" customHeight="1">
      <c r="A15" s="601" t="s">
        <v>52</v>
      </c>
      <c r="B15" s="40" t="s">
        <v>74</v>
      </c>
      <c r="C15" s="594" t="s">
        <v>85</v>
      </c>
      <c r="D15" s="594"/>
      <c r="E15" s="39">
        <v>53.68</v>
      </c>
      <c r="F15" s="40">
        <v>1087</v>
      </c>
      <c r="G15" s="4">
        <f t="shared" si="15"/>
        <v>58350.159999999996</v>
      </c>
      <c r="H15" s="48" t="s">
        <v>126</v>
      </c>
      <c r="I15" s="17">
        <v>16</v>
      </c>
      <c r="J15" s="43">
        <v>1500</v>
      </c>
      <c r="K15" s="18">
        <f t="shared" si="1"/>
        <v>93.75</v>
      </c>
      <c r="L15" s="17">
        <v>16</v>
      </c>
      <c r="M15" s="19">
        <f t="shared" si="16"/>
        <v>1449.3333333333333</v>
      </c>
      <c r="N15" s="18">
        <f t="shared" si="3"/>
        <v>90.583333333333329</v>
      </c>
      <c r="O15" s="20">
        <f t="shared" si="4"/>
        <v>0</v>
      </c>
      <c r="P15" s="21">
        <f t="shared" si="5"/>
        <v>-3.1666666666666714</v>
      </c>
      <c r="Q15" s="22">
        <f t="shared" si="6"/>
        <v>0.9662222222222222</v>
      </c>
      <c r="R15" s="573"/>
      <c r="S15" s="49">
        <v>0.70833333333333337</v>
      </c>
      <c r="T15" s="49">
        <v>0.73958333333333337</v>
      </c>
      <c r="U15" s="4" t="str">
        <f t="shared" si="18"/>
        <v/>
      </c>
      <c r="V15" s="24">
        <f t="shared" si="17"/>
        <v>45</v>
      </c>
      <c r="W15" s="25"/>
      <c r="X15" s="25"/>
      <c r="Y15" s="25"/>
      <c r="Z15" s="25"/>
      <c r="AA15" s="575"/>
      <c r="AB15" s="575"/>
      <c r="AC15" s="50"/>
      <c r="AD15" s="27"/>
      <c r="AE15" s="20">
        <f t="shared" si="8"/>
        <v>-50.666666666666742</v>
      </c>
      <c r="AF15" s="22">
        <f t="shared" si="9"/>
        <v>0.9662222222222222</v>
      </c>
      <c r="AG15" s="573"/>
    </row>
    <row r="16" spans="1:33" ht="16.5" customHeight="1">
      <c r="A16" s="601" t="s">
        <v>52</v>
      </c>
      <c r="B16" s="40" t="s">
        <v>74</v>
      </c>
      <c r="C16" s="594" t="s">
        <v>86</v>
      </c>
      <c r="D16" s="594"/>
      <c r="E16" s="39">
        <v>50.92</v>
      </c>
      <c r="F16" s="40">
        <v>1917</v>
      </c>
      <c r="G16" s="4">
        <f t="shared" si="15"/>
        <v>97613.64</v>
      </c>
      <c r="H16" s="48" t="s">
        <v>126</v>
      </c>
      <c r="I16" s="17">
        <v>15</v>
      </c>
      <c r="J16" s="43">
        <v>2000</v>
      </c>
      <c r="K16" s="18">
        <f t="shared" si="1"/>
        <v>133.33333333333334</v>
      </c>
      <c r="L16" s="17">
        <v>15</v>
      </c>
      <c r="M16" s="19">
        <f t="shared" si="16"/>
        <v>1917.0000000000018</v>
      </c>
      <c r="N16" s="18">
        <f t="shared" si="3"/>
        <v>127.80000000000013</v>
      </c>
      <c r="O16" s="20">
        <f t="shared" si="4"/>
        <v>0</v>
      </c>
      <c r="P16" s="21">
        <f t="shared" si="5"/>
        <v>-5.5333333333332178</v>
      </c>
      <c r="Q16" s="22">
        <f t="shared" si="6"/>
        <v>0.95850000000000091</v>
      </c>
      <c r="R16" s="573"/>
      <c r="S16" s="49">
        <v>0.74513888888888891</v>
      </c>
      <c r="T16" s="49">
        <v>0.78680555555555554</v>
      </c>
      <c r="U16" s="4">
        <f t="shared" si="18"/>
        <v>7.9999999999999716</v>
      </c>
      <c r="V16" s="24">
        <f t="shared" si="17"/>
        <v>59.999999999999943</v>
      </c>
      <c r="W16" s="25"/>
      <c r="X16" s="25"/>
      <c r="Y16" s="25"/>
      <c r="Z16" s="25"/>
      <c r="AA16" s="575"/>
      <c r="AB16" s="575"/>
      <c r="AC16" s="50"/>
      <c r="AD16" s="27"/>
      <c r="AE16" s="20">
        <f t="shared" si="8"/>
        <v>-82.999999999998181</v>
      </c>
      <c r="AF16" s="22">
        <f t="shared" si="9"/>
        <v>0.95850000000000091</v>
      </c>
      <c r="AG16" s="573"/>
    </row>
    <row r="17" spans="1:33" ht="16.5" customHeight="1">
      <c r="A17" s="601" t="s">
        <v>50</v>
      </c>
      <c r="B17" s="40" t="s">
        <v>74</v>
      </c>
      <c r="C17" s="594" t="s">
        <v>87</v>
      </c>
      <c r="D17" s="594"/>
      <c r="E17" s="39">
        <v>57.3</v>
      </c>
      <c r="F17" s="40">
        <v>1259</v>
      </c>
      <c r="G17" s="4">
        <f t="shared" si="15"/>
        <v>72140.7</v>
      </c>
      <c r="H17" s="48" t="s">
        <v>126</v>
      </c>
      <c r="I17" s="17">
        <v>13</v>
      </c>
      <c r="J17" s="43">
        <v>2000</v>
      </c>
      <c r="K17" s="18">
        <f t="shared" si="1"/>
        <v>153.84615384615384</v>
      </c>
      <c r="L17" s="17">
        <v>13</v>
      </c>
      <c r="M17" s="19">
        <f t="shared" si="16"/>
        <v>1936.9230769230758</v>
      </c>
      <c r="N17" s="18">
        <f t="shared" si="3"/>
        <v>148.99408284023659</v>
      </c>
      <c r="O17" s="20">
        <f t="shared" si="4"/>
        <v>0</v>
      </c>
      <c r="P17" s="21">
        <f t="shared" si="5"/>
        <v>-4.8520710059172529</v>
      </c>
      <c r="Q17" s="22">
        <f t="shared" si="6"/>
        <v>0.96846153846153782</v>
      </c>
      <c r="R17" s="573"/>
      <c r="S17" s="49">
        <v>0.79027777777777775</v>
      </c>
      <c r="T17" s="49">
        <v>0.81736111111111109</v>
      </c>
      <c r="U17" s="4">
        <f t="shared" si="18"/>
        <v>4.9999999999999822</v>
      </c>
      <c r="V17" s="24">
        <f t="shared" si="17"/>
        <v>39.000000000000021</v>
      </c>
      <c r="W17" s="25"/>
      <c r="X17" s="25"/>
      <c r="Y17" s="25"/>
      <c r="Z17" s="25"/>
      <c r="AA17" s="575"/>
      <c r="AB17" s="575"/>
      <c r="AC17" s="50"/>
      <c r="AD17" s="27"/>
      <c r="AE17" s="20">
        <f t="shared" si="8"/>
        <v>-63.076923076924231</v>
      </c>
      <c r="AF17" s="22">
        <f t="shared" si="9"/>
        <v>0.96846153846153793</v>
      </c>
      <c r="AG17" s="573"/>
    </row>
    <row r="18" spans="1:33" ht="16.5" customHeight="1">
      <c r="A18" s="601" t="s">
        <v>52</v>
      </c>
      <c r="B18" s="39" t="s">
        <v>49</v>
      </c>
      <c r="C18" s="576"/>
      <c r="D18" s="576"/>
      <c r="E18" s="41"/>
      <c r="F18" s="42"/>
      <c r="G18" s="18"/>
      <c r="H18" s="40"/>
      <c r="I18" s="32">
        <v>17.399999999999999</v>
      </c>
      <c r="J18" s="43">
        <v>1700</v>
      </c>
      <c r="K18" s="18">
        <f t="shared" si="1"/>
        <v>97.701149425287369</v>
      </c>
      <c r="L18" s="32">
        <v>17.399999999999999</v>
      </c>
      <c r="M18" s="19">
        <f>AVERAGE(M13:M17)</f>
        <v>1638.5003992262421</v>
      </c>
      <c r="N18" s="18">
        <f t="shared" si="3"/>
        <v>94.166689610703571</v>
      </c>
      <c r="O18" s="20">
        <f t="shared" si="4"/>
        <v>0</v>
      </c>
      <c r="P18" s="21">
        <f t="shared" si="5"/>
        <v>-3.5344598145837978</v>
      </c>
      <c r="Q18" s="22">
        <f t="shared" si="6"/>
        <v>0.96382376425073057</v>
      </c>
      <c r="R18" s="573"/>
      <c r="S18" s="49"/>
      <c r="T18" s="49"/>
      <c r="U18" s="4"/>
      <c r="V18" s="24"/>
      <c r="W18" s="18"/>
      <c r="X18" s="18"/>
      <c r="Y18" s="33">
        <f>SUM(Y13:Y17)</f>
        <v>0</v>
      </c>
      <c r="Z18" s="33">
        <f>SUM(Z13:Z17)</f>
        <v>0</v>
      </c>
      <c r="AA18" s="572"/>
      <c r="AB18" s="572"/>
      <c r="AC18" s="33">
        <f>SUM(AC13:AC17)</f>
        <v>5</v>
      </c>
      <c r="AD18" s="33">
        <f>SUM(AD13:AD17)</f>
        <v>0</v>
      </c>
      <c r="AE18" s="20">
        <f t="shared" si="8"/>
        <v>-61.499600773757948</v>
      </c>
      <c r="AF18" s="22">
        <f t="shared" si="9"/>
        <v>0.96382376425073057</v>
      </c>
      <c r="AG18" s="573"/>
    </row>
    <row r="19" spans="1:33" ht="15.75" customHeight="1">
      <c r="A19" s="596" t="s">
        <v>53</v>
      </c>
      <c r="B19" s="39" t="s">
        <v>74</v>
      </c>
      <c r="C19" s="594" t="s">
        <v>88</v>
      </c>
      <c r="D19" s="594"/>
      <c r="E19" s="39">
        <v>59.04</v>
      </c>
      <c r="F19" s="40">
        <v>5603</v>
      </c>
      <c r="G19" s="4">
        <f t="shared" ref="G19:G24" si="19">E19*F19</f>
        <v>330801.12</v>
      </c>
      <c r="H19" s="48" t="s">
        <v>126</v>
      </c>
      <c r="I19" s="17">
        <v>19</v>
      </c>
      <c r="J19" s="43">
        <v>2000</v>
      </c>
      <c r="K19" s="18">
        <f t="shared" si="1"/>
        <v>105.26315789473684</v>
      </c>
      <c r="L19" s="17">
        <v>19</v>
      </c>
      <c r="M19" s="19">
        <f t="shared" ref="M19:M24" si="20">F19/V19*60</f>
        <v>1910.1136363636367</v>
      </c>
      <c r="N19" s="18">
        <f t="shared" si="3"/>
        <v>100.53229665071773</v>
      </c>
      <c r="O19" s="20">
        <f t="shared" si="4"/>
        <v>0</v>
      </c>
      <c r="P19" s="21">
        <f t="shared" si="5"/>
        <v>-4.7308612440191098</v>
      </c>
      <c r="Q19" s="22">
        <f t="shared" si="6"/>
        <v>0.95505681818181842</v>
      </c>
      <c r="R19" s="573">
        <f>Q25</f>
        <v>0.95790735505034397</v>
      </c>
      <c r="S19" s="49">
        <v>0.20833333333333334</v>
      </c>
      <c r="T19" s="49">
        <v>0.33055555555555555</v>
      </c>
      <c r="U19" s="4"/>
      <c r="V19" s="24">
        <f t="shared" ref="V19:V24" si="21">(T19-S19)*24*60</f>
        <v>175.99999999999997</v>
      </c>
      <c r="W19" s="30"/>
      <c r="X19" s="30"/>
      <c r="Y19" s="30"/>
      <c r="Z19" s="30"/>
      <c r="AA19" s="575"/>
      <c r="AB19" s="575"/>
      <c r="AC19" s="50">
        <v>6</v>
      </c>
      <c r="AD19" s="27"/>
      <c r="AE19" s="20">
        <f t="shared" si="8"/>
        <v>-89.886363636363285</v>
      </c>
      <c r="AF19" s="22">
        <f t="shared" si="9"/>
        <v>0.95505681818181831</v>
      </c>
      <c r="AG19" s="573">
        <f>AF25</f>
        <v>0.95790735505034386</v>
      </c>
    </row>
    <row r="20" spans="1:33" ht="15.75" customHeight="1">
      <c r="A20" s="597" t="s">
        <v>54</v>
      </c>
      <c r="B20" s="39" t="s">
        <v>74</v>
      </c>
      <c r="C20" s="594" t="s">
        <v>89</v>
      </c>
      <c r="D20" s="594"/>
      <c r="E20" s="39">
        <v>50.67</v>
      </c>
      <c r="F20" s="40">
        <v>1689</v>
      </c>
      <c r="G20" s="4">
        <f t="shared" si="19"/>
        <v>85581.63</v>
      </c>
      <c r="H20" s="48" t="s">
        <v>126</v>
      </c>
      <c r="I20" s="17">
        <v>17</v>
      </c>
      <c r="J20" s="43">
        <v>2000</v>
      </c>
      <c r="K20" s="18">
        <f t="shared" si="1"/>
        <v>117.64705882352941</v>
      </c>
      <c r="L20" s="17">
        <v>17</v>
      </c>
      <c r="M20" s="19">
        <f t="shared" si="20"/>
        <v>1912.0754716981141</v>
      </c>
      <c r="N20" s="18">
        <f t="shared" si="3"/>
        <v>112.47502774694789</v>
      </c>
      <c r="O20" s="20">
        <f t="shared" si="4"/>
        <v>0</v>
      </c>
      <c r="P20" s="21">
        <f t="shared" si="5"/>
        <v>-5.1720310765815185</v>
      </c>
      <c r="Q20" s="22">
        <f t="shared" si="6"/>
        <v>0.95603773584905705</v>
      </c>
      <c r="R20" s="573"/>
      <c r="S20" s="49">
        <v>0.33611111111111108</v>
      </c>
      <c r="T20" s="49">
        <v>0.37291666666666662</v>
      </c>
      <c r="U20" s="4">
        <f t="shared" ref="U20:U24" si="22">IF(S20=TIME(17,0,0),"",(S20-T19)*24*60)</f>
        <v>7.9999999999999716</v>
      </c>
      <c r="V20" s="24">
        <f t="shared" si="21"/>
        <v>52.999999999999972</v>
      </c>
      <c r="W20" s="25"/>
      <c r="X20" s="4"/>
      <c r="Y20" s="4"/>
      <c r="Z20" s="4"/>
      <c r="AA20" s="575"/>
      <c r="AB20" s="575"/>
      <c r="AC20" s="50"/>
      <c r="AD20" s="27"/>
      <c r="AE20" s="20">
        <f t="shared" si="8"/>
        <v>-87.924528301885857</v>
      </c>
      <c r="AF20" s="22">
        <f t="shared" si="9"/>
        <v>0.95603773584905705</v>
      </c>
      <c r="AG20" s="573"/>
    </row>
    <row r="21" spans="1:33" ht="15.75" customHeight="1">
      <c r="A21" s="597" t="s">
        <v>54</v>
      </c>
      <c r="B21" s="39" t="s">
        <v>74</v>
      </c>
      <c r="C21" s="594" t="s">
        <v>90</v>
      </c>
      <c r="D21" s="594"/>
      <c r="E21" s="39">
        <v>57.73</v>
      </c>
      <c r="F21" s="40">
        <v>1885</v>
      </c>
      <c r="G21" s="4">
        <f t="shared" si="19"/>
        <v>108821.04999999999</v>
      </c>
      <c r="H21" s="48" t="s">
        <v>126</v>
      </c>
      <c r="I21" s="17">
        <v>14</v>
      </c>
      <c r="J21" s="43">
        <v>2000</v>
      </c>
      <c r="K21" s="18">
        <f t="shared" si="1"/>
        <v>142.85714285714286</v>
      </c>
      <c r="L21" s="17">
        <v>14</v>
      </c>
      <c r="M21" s="19">
        <f t="shared" si="20"/>
        <v>1916.9491525423718</v>
      </c>
      <c r="N21" s="18">
        <f t="shared" si="3"/>
        <v>136.92493946731227</v>
      </c>
      <c r="O21" s="20">
        <f t="shared" si="4"/>
        <v>0</v>
      </c>
      <c r="P21" s="21">
        <f t="shared" si="5"/>
        <v>-5.9322033898305904</v>
      </c>
      <c r="Q21" s="22">
        <f t="shared" si="6"/>
        <v>0.95847457627118582</v>
      </c>
      <c r="R21" s="573"/>
      <c r="S21" s="49">
        <v>0.37638888888888883</v>
      </c>
      <c r="T21" s="49">
        <v>0.41736111111111107</v>
      </c>
      <c r="U21" s="4">
        <f t="shared" si="22"/>
        <v>4.9999999999999822</v>
      </c>
      <c r="V21" s="24">
        <f t="shared" si="21"/>
        <v>59.000000000000028</v>
      </c>
      <c r="W21" s="25"/>
      <c r="X21" s="4"/>
      <c r="Y21" s="4"/>
      <c r="Z21" s="4"/>
      <c r="AA21" s="575"/>
      <c r="AB21" s="575"/>
      <c r="AC21" s="50"/>
      <c r="AD21" s="27"/>
      <c r="AE21" s="20">
        <f t="shared" si="8"/>
        <v>-83.050847457628151</v>
      </c>
      <c r="AF21" s="22">
        <f t="shared" si="9"/>
        <v>0.95847457627118593</v>
      </c>
      <c r="AG21" s="573"/>
    </row>
    <row r="22" spans="1:33" ht="15.75" customHeight="1">
      <c r="A22" s="597" t="s">
        <v>53</v>
      </c>
      <c r="B22" s="39" t="s">
        <v>74</v>
      </c>
      <c r="C22" s="594" t="s">
        <v>91</v>
      </c>
      <c r="D22" s="594"/>
      <c r="E22" s="39">
        <v>53.68</v>
      </c>
      <c r="F22" s="40">
        <v>952</v>
      </c>
      <c r="G22" s="4">
        <f t="shared" si="19"/>
        <v>51103.360000000001</v>
      </c>
      <c r="H22" s="48" t="s">
        <v>126</v>
      </c>
      <c r="I22" s="17">
        <v>16</v>
      </c>
      <c r="J22" s="43">
        <v>2000</v>
      </c>
      <c r="K22" s="18">
        <f t="shared" si="1"/>
        <v>125</v>
      </c>
      <c r="L22" s="17">
        <v>16</v>
      </c>
      <c r="M22" s="19">
        <f t="shared" si="20"/>
        <v>1904.0000000000018</v>
      </c>
      <c r="N22" s="18">
        <f t="shared" si="3"/>
        <v>119.00000000000011</v>
      </c>
      <c r="O22" s="20">
        <f t="shared" si="4"/>
        <v>0</v>
      </c>
      <c r="P22" s="21">
        <f t="shared" si="5"/>
        <v>-5.9999999999998863</v>
      </c>
      <c r="Q22" s="22">
        <f t="shared" si="6"/>
        <v>0.95200000000000096</v>
      </c>
      <c r="R22" s="573"/>
      <c r="S22" s="49">
        <v>0.42291666666666661</v>
      </c>
      <c r="T22" s="49">
        <v>0.44374999999999992</v>
      </c>
      <c r="U22" s="4">
        <f t="shared" si="22"/>
        <v>7.9999999999999716</v>
      </c>
      <c r="V22" s="24">
        <f t="shared" si="21"/>
        <v>29.999999999999972</v>
      </c>
      <c r="W22" s="25"/>
      <c r="X22" s="4"/>
      <c r="Y22" s="4"/>
      <c r="Z22" s="4"/>
      <c r="AA22" s="575"/>
      <c r="AB22" s="575"/>
      <c r="AC22" s="50"/>
      <c r="AD22" s="27"/>
      <c r="AE22" s="20">
        <f t="shared" si="8"/>
        <v>-95.999999999998181</v>
      </c>
      <c r="AF22" s="22">
        <f t="shared" si="9"/>
        <v>0.95200000000000096</v>
      </c>
      <c r="AG22" s="573"/>
    </row>
    <row r="23" spans="1:33" ht="15.75" customHeight="1">
      <c r="A23" s="597" t="s">
        <v>54</v>
      </c>
      <c r="B23" s="39" t="s">
        <v>74</v>
      </c>
      <c r="C23" s="594" t="s">
        <v>92</v>
      </c>
      <c r="D23" s="594"/>
      <c r="E23" s="39">
        <v>50.49</v>
      </c>
      <c r="F23" s="40">
        <v>1551</v>
      </c>
      <c r="G23" s="4">
        <f t="shared" si="19"/>
        <v>78309.990000000005</v>
      </c>
      <c r="H23" s="48" t="s">
        <v>126</v>
      </c>
      <c r="I23" s="17">
        <v>15</v>
      </c>
      <c r="J23" s="43">
        <v>2000</v>
      </c>
      <c r="K23" s="18">
        <f t="shared" si="1"/>
        <v>133.33333333333334</v>
      </c>
      <c r="L23" s="17">
        <v>15</v>
      </c>
      <c r="M23" s="19">
        <f t="shared" si="20"/>
        <v>1938.7500000000005</v>
      </c>
      <c r="N23" s="18">
        <f t="shared" si="3"/>
        <v>129.25000000000003</v>
      </c>
      <c r="O23" s="20">
        <f t="shared" si="4"/>
        <v>0</v>
      </c>
      <c r="P23" s="21">
        <f t="shared" si="5"/>
        <v>-4.0833333333333144</v>
      </c>
      <c r="Q23" s="22">
        <f t="shared" si="6"/>
        <v>0.9693750000000001</v>
      </c>
      <c r="R23" s="573"/>
      <c r="S23" s="49">
        <v>0.70833333333333337</v>
      </c>
      <c r="T23" s="49">
        <v>0.7416666666666667</v>
      </c>
      <c r="U23" s="4" t="str">
        <f>IF(S23=TIME(17,0,0),"",(S23-T22)*24*60)</f>
        <v/>
      </c>
      <c r="V23" s="24">
        <f t="shared" si="21"/>
        <v>47.999999999999986</v>
      </c>
      <c r="W23" s="25"/>
      <c r="X23" s="25"/>
      <c r="Y23" s="4"/>
      <c r="Z23" s="4"/>
      <c r="AA23" s="575"/>
      <c r="AB23" s="575"/>
      <c r="AC23" s="50"/>
      <c r="AD23" s="27"/>
      <c r="AE23" s="20">
        <f t="shared" si="8"/>
        <v>-61.249999999999545</v>
      </c>
      <c r="AF23" s="22">
        <f t="shared" si="9"/>
        <v>0.96937500000000021</v>
      </c>
      <c r="AG23" s="573"/>
    </row>
    <row r="24" spans="1:33" ht="15.75" customHeight="1">
      <c r="A24" s="597" t="s">
        <v>54</v>
      </c>
      <c r="B24" s="39" t="s">
        <v>74</v>
      </c>
      <c r="C24" s="594" t="s">
        <v>93</v>
      </c>
      <c r="D24" s="594"/>
      <c r="E24" s="39">
        <v>50.98</v>
      </c>
      <c r="F24" s="40">
        <v>1913</v>
      </c>
      <c r="G24" s="4">
        <f t="shared" si="19"/>
        <v>97524.739999999991</v>
      </c>
      <c r="H24" s="48" t="s">
        <v>126</v>
      </c>
      <c r="I24" s="17">
        <v>16</v>
      </c>
      <c r="J24" s="43">
        <v>2000</v>
      </c>
      <c r="K24" s="18">
        <f t="shared" si="1"/>
        <v>125</v>
      </c>
      <c r="L24" s="17">
        <v>16</v>
      </c>
      <c r="M24" s="19">
        <f t="shared" si="20"/>
        <v>1913.0000000000018</v>
      </c>
      <c r="N24" s="18">
        <f t="shared" si="3"/>
        <v>119.56250000000011</v>
      </c>
      <c r="O24" s="20">
        <f t="shared" si="4"/>
        <v>0</v>
      </c>
      <c r="P24" s="21">
        <f t="shared" si="5"/>
        <v>-5.4374999999998863</v>
      </c>
      <c r="Q24" s="22">
        <f t="shared" si="6"/>
        <v>0.95650000000000091</v>
      </c>
      <c r="R24" s="573"/>
      <c r="S24" s="49">
        <v>0.74652777777777779</v>
      </c>
      <c r="T24" s="49">
        <v>0.78819444444444442</v>
      </c>
      <c r="U24" s="4">
        <f t="shared" si="22"/>
        <v>6.9999999999999751</v>
      </c>
      <c r="V24" s="24">
        <f t="shared" si="21"/>
        <v>59.999999999999943</v>
      </c>
      <c r="W24" s="25"/>
      <c r="X24" s="30"/>
      <c r="Y24" s="30"/>
      <c r="Z24" s="30"/>
      <c r="AA24" s="575"/>
      <c r="AB24" s="575"/>
      <c r="AC24" s="50"/>
      <c r="AD24" s="27"/>
      <c r="AE24" s="20">
        <f t="shared" si="8"/>
        <v>-86.999999999998181</v>
      </c>
      <c r="AF24" s="22">
        <f t="shared" si="9"/>
        <v>0.95650000000000091</v>
      </c>
      <c r="AG24" s="573"/>
    </row>
    <row r="25" spans="1:33" ht="15.75" customHeight="1">
      <c r="A25" s="597" t="s">
        <v>54</v>
      </c>
      <c r="B25" s="39" t="s">
        <v>46</v>
      </c>
      <c r="C25" s="576"/>
      <c r="D25" s="576"/>
      <c r="E25" s="41"/>
      <c r="F25" s="40"/>
      <c r="G25" s="4"/>
      <c r="H25" s="40"/>
      <c r="I25" s="32">
        <v>16.166666666666668</v>
      </c>
      <c r="J25" s="43">
        <v>2000</v>
      </c>
      <c r="K25" s="18">
        <f t="shared" ref="K25:K45" si="23">J25/I25</f>
        <v>123.71134020618555</v>
      </c>
      <c r="L25" s="32">
        <v>16.166666666666668</v>
      </c>
      <c r="M25" s="19">
        <f>AVERAGE(M19:M24)</f>
        <v>1915.8147101006878</v>
      </c>
      <c r="N25" s="18">
        <f t="shared" ref="N25:N45" si="24">M25/L25</f>
        <v>118.50400268664048</v>
      </c>
      <c r="O25" s="20">
        <f t="shared" ref="O25:O45" si="25">L25-I25</f>
        <v>0</v>
      </c>
      <c r="P25" s="21">
        <f t="shared" ref="P25:P45" si="26">N25-K25</f>
        <v>-5.207337519545078</v>
      </c>
      <c r="Q25" s="22">
        <f t="shared" ref="Q25:Q45" si="27">N25/K25</f>
        <v>0.95790735505034397</v>
      </c>
      <c r="R25" s="573"/>
      <c r="S25" s="49"/>
      <c r="T25" s="49"/>
      <c r="U25" s="18"/>
      <c r="V25" s="24"/>
      <c r="W25" s="18"/>
      <c r="X25" s="18"/>
      <c r="Y25" s="33">
        <f>SUM(Y19:Y24)</f>
        <v>0</v>
      </c>
      <c r="Z25" s="33">
        <f>SUM(Z19:Z24)</f>
        <v>0</v>
      </c>
      <c r="AA25" s="572"/>
      <c r="AB25" s="572"/>
      <c r="AC25" s="33">
        <f>SUM(AC19:AC24)</f>
        <v>6</v>
      </c>
      <c r="AD25" s="33">
        <f>SUM(AD19:AD24)</f>
        <v>0</v>
      </c>
      <c r="AE25" s="20">
        <f t="shared" ref="AE25:AE45" si="28">M25-J25</f>
        <v>-84.185289899312238</v>
      </c>
      <c r="AF25" s="22">
        <f t="shared" ref="AF25:AF45" si="29">M25/J25</f>
        <v>0.95790735505034386</v>
      </c>
      <c r="AG25" s="573"/>
    </row>
    <row r="26" spans="1:33" ht="15.75" customHeight="1">
      <c r="A26" s="595" t="s">
        <v>55</v>
      </c>
      <c r="B26" s="39" t="s">
        <v>94</v>
      </c>
      <c r="C26" s="594" t="s">
        <v>95</v>
      </c>
      <c r="D26" s="594"/>
      <c r="E26" s="39">
        <v>31.29</v>
      </c>
      <c r="F26" s="40">
        <v>5600</v>
      </c>
      <c r="G26" s="4">
        <f t="shared" ref="G26:G30" si="30">E26*F26</f>
        <v>175224</v>
      </c>
      <c r="H26" s="48">
        <v>2</v>
      </c>
      <c r="I26" s="17">
        <v>18</v>
      </c>
      <c r="J26" s="43">
        <v>2400</v>
      </c>
      <c r="K26" s="18">
        <f t="shared" si="23"/>
        <v>133.33333333333334</v>
      </c>
      <c r="L26" s="17">
        <v>18</v>
      </c>
      <c r="M26" s="19">
        <f t="shared" ref="M26:M30" si="31">F26/V26*60</f>
        <v>2285.7142857142858</v>
      </c>
      <c r="N26" s="18">
        <f t="shared" si="24"/>
        <v>126.98412698412699</v>
      </c>
      <c r="O26" s="20">
        <f t="shared" si="25"/>
        <v>0</v>
      </c>
      <c r="P26" s="21">
        <f t="shared" si="26"/>
        <v>-6.3492063492063551</v>
      </c>
      <c r="Q26" s="22">
        <f t="shared" si="27"/>
        <v>0.95238095238095233</v>
      </c>
      <c r="R26" s="573">
        <f>Q31</f>
        <v>0.95350047360311341</v>
      </c>
      <c r="S26" s="49">
        <v>8.3333333333333329E-2</v>
      </c>
      <c r="T26" s="49">
        <v>0.18541666666666667</v>
      </c>
      <c r="U26" s="4"/>
      <c r="V26" s="24">
        <f t="shared" ref="V26:V30" si="32">(T26-S26)*24*60</f>
        <v>147</v>
      </c>
      <c r="W26" s="25">
        <f>T26</f>
        <v>0.18541666666666667</v>
      </c>
      <c r="X26" s="25">
        <f>S27</f>
        <v>0.20555555555555557</v>
      </c>
      <c r="Y26" s="25"/>
      <c r="Z26" s="25"/>
      <c r="AA26" s="575"/>
      <c r="AB26" s="575"/>
      <c r="AC26" s="50">
        <v>5</v>
      </c>
      <c r="AD26" s="27"/>
      <c r="AE26" s="20">
        <f t="shared" si="28"/>
        <v>-114.28571428571422</v>
      </c>
      <c r="AF26" s="22">
        <f t="shared" si="29"/>
        <v>0.95238095238095244</v>
      </c>
      <c r="AG26" s="573">
        <f>AF31</f>
        <v>0.9535004736031133</v>
      </c>
    </row>
    <row r="27" spans="1:33" ht="15.75" customHeight="1">
      <c r="A27" s="595" t="s">
        <v>55</v>
      </c>
      <c r="B27" s="39" t="s">
        <v>94</v>
      </c>
      <c r="C27" s="594" t="s">
        <v>96</v>
      </c>
      <c r="D27" s="594"/>
      <c r="E27" s="39">
        <v>26.2</v>
      </c>
      <c r="F27" s="40">
        <v>4690</v>
      </c>
      <c r="G27" s="4">
        <f t="shared" si="30"/>
        <v>122878</v>
      </c>
      <c r="H27" s="48" t="s">
        <v>126</v>
      </c>
      <c r="I27" s="17">
        <v>20</v>
      </c>
      <c r="J27" s="43">
        <v>2400</v>
      </c>
      <c r="K27" s="18">
        <f t="shared" si="23"/>
        <v>120</v>
      </c>
      <c r="L27" s="17">
        <v>20</v>
      </c>
      <c r="M27" s="19">
        <f t="shared" si="31"/>
        <v>2287.8048780487807</v>
      </c>
      <c r="N27" s="18">
        <f t="shared" si="24"/>
        <v>114.39024390243904</v>
      </c>
      <c r="O27" s="20">
        <f t="shared" si="25"/>
        <v>0</v>
      </c>
      <c r="P27" s="21">
        <f t="shared" si="26"/>
        <v>-5.6097560975609611</v>
      </c>
      <c r="Q27" s="22">
        <f t="shared" si="27"/>
        <v>0.95325203252032531</v>
      </c>
      <c r="R27" s="573"/>
      <c r="S27" s="49">
        <v>0.20555555555555557</v>
      </c>
      <c r="T27" s="49">
        <v>0.29097222222222224</v>
      </c>
      <c r="U27" s="4">
        <f t="shared" ref="U27:U30" si="33">(S27-T26)*24*60</f>
        <v>29.000000000000018</v>
      </c>
      <c r="V27" s="24">
        <f t="shared" si="32"/>
        <v>122.99999999999999</v>
      </c>
      <c r="W27" s="25"/>
      <c r="X27" s="25"/>
      <c r="Y27" s="25"/>
      <c r="Z27" s="25"/>
      <c r="AA27" s="575"/>
      <c r="AB27" s="575"/>
      <c r="AC27" s="50"/>
      <c r="AD27" s="27"/>
      <c r="AE27" s="20">
        <f t="shared" si="28"/>
        <v>-112.19512195121933</v>
      </c>
      <c r="AF27" s="22">
        <f t="shared" si="29"/>
        <v>0.95325203252032531</v>
      </c>
      <c r="AG27" s="573"/>
    </row>
    <row r="28" spans="1:33" ht="15.75" customHeight="1">
      <c r="A28" s="595" t="s">
        <v>56</v>
      </c>
      <c r="B28" s="39" t="s">
        <v>94</v>
      </c>
      <c r="C28" s="594" t="s">
        <v>97</v>
      </c>
      <c r="D28" s="594"/>
      <c r="E28" s="39">
        <v>26.37</v>
      </c>
      <c r="F28" s="40">
        <v>6280</v>
      </c>
      <c r="G28" s="4">
        <f t="shared" si="30"/>
        <v>165603.6</v>
      </c>
      <c r="H28" s="48" t="s">
        <v>126</v>
      </c>
      <c r="I28" s="17">
        <v>19</v>
      </c>
      <c r="J28" s="43">
        <v>2400</v>
      </c>
      <c r="K28" s="18">
        <f t="shared" si="23"/>
        <v>126.31578947368421</v>
      </c>
      <c r="L28" s="17">
        <v>19</v>
      </c>
      <c r="M28" s="19">
        <f t="shared" si="31"/>
        <v>2283.636363636364</v>
      </c>
      <c r="N28" s="18">
        <f t="shared" si="24"/>
        <v>120.19138755980863</v>
      </c>
      <c r="O28" s="20">
        <f t="shared" si="25"/>
        <v>0</v>
      </c>
      <c r="P28" s="21">
        <f t="shared" si="26"/>
        <v>-6.1244019138755732</v>
      </c>
      <c r="Q28" s="22">
        <f t="shared" si="27"/>
        <v>0.95151515151515176</v>
      </c>
      <c r="R28" s="573"/>
      <c r="S28" s="49">
        <v>0.29583333333333334</v>
      </c>
      <c r="T28" s="49">
        <v>0.41041666666666665</v>
      </c>
      <c r="U28" s="4">
        <f t="shared" si="33"/>
        <v>6.9999999999999751</v>
      </c>
      <c r="V28" s="24">
        <f t="shared" si="32"/>
        <v>164.99999999999997</v>
      </c>
      <c r="W28" s="25"/>
      <c r="X28" s="25"/>
      <c r="Y28" s="25"/>
      <c r="Z28" s="25"/>
      <c r="AA28" s="575"/>
      <c r="AB28" s="575"/>
      <c r="AC28" s="50"/>
      <c r="AD28" s="27"/>
      <c r="AE28" s="20">
        <f t="shared" si="28"/>
        <v>-116.36363636363603</v>
      </c>
      <c r="AF28" s="22">
        <f t="shared" si="29"/>
        <v>0.95151515151515165</v>
      </c>
      <c r="AG28" s="573"/>
    </row>
    <row r="29" spans="1:33" ht="15.75" customHeight="1">
      <c r="A29" s="595" t="s">
        <v>57</v>
      </c>
      <c r="B29" s="39" t="s">
        <v>94</v>
      </c>
      <c r="C29" s="594" t="s">
        <v>98</v>
      </c>
      <c r="D29" s="594"/>
      <c r="E29" s="39">
        <v>25.99</v>
      </c>
      <c r="F29" s="40">
        <v>3707</v>
      </c>
      <c r="G29" s="4">
        <f t="shared" si="30"/>
        <v>96344.93</v>
      </c>
      <c r="H29" s="48" t="s">
        <v>126</v>
      </c>
      <c r="I29" s="17">
        <v>14</v>
      </c>
      <c r="J29" s="43">
        <v>2400</v>
      </c>
      <c r="K29" s="18">
        <f t="shared" si="23"/>
        <v>171.42857142857142</v>
      </c>
      <c r="L29" s="17">
        <v>14</v>
      </c>
      <c r="M29" s="19">
        <f t="shared" si="31"/>
        <v>2292.9896907216503</v>
      </c>
      <c r="N29" s="18">
        <f t="shared" si="24"/>
        <v>163.78497790868931</v>
      </c>
      <c r="O29" s="20">
        <f t="shared" si="25"/>
        <v>0</v>
      </c>
      <c r="P29" s="21">
        <f t="shared" si="26"/>
        <v>-7.6435935198821028</v>
      </c>
      <c r="Q29" s="22">
        <f t="shared" si="27"/>
        <v>0.95541237113402111</v>
      </c>
      <c r="R29" s="573"/>
      <c r="S29" s="49">
        <v>0.4145833333333333</v>
      </c>
      <c r="T29" s="49">
        <v>0.4819444444444444</v>
      </c>
      <c r="U29" s="4">
        <f t="shared" si="33"/>
        <v>5.9999999999999787</v>
      </c>
      <c r="V29" s="24">
        <f t="shared" si="32"/>
        <v>96.999999999999972</v>
      </c>
      <c r="W29" s="25">
        <f>T29</f>
        <v>0.4819444444444444</v>
      </c>
      <c r="X29" s="25">
        <f>S30</f>
        <v>0.52361111111111103</v>
      </c>
      <c r="Y29" s="25"/>
      <c r="Z29" s="25"/>
      <c r="AA29" s="575"/>
      <c r="AB29" s="575"/>
      <c r="AC29" s="50"/>
      <c r="AD29" s="27"/>
      <c r="AE29" s="20">
        <f t="shared" si="28"/>
        <v>-107.01030927834972</v>
      </c>
      <c r="AF29" s="22">
        <f t="shared" si="29"/>
        <v>0.955412371134021</v>
      </c>
      <c r="AG29" s="573"/>
    </row>
    <row r="30" spans="1:33" ht="15.75" customHeight="1">
      <c r="A30" s="595" t="s">
        <v>55</v>
      </c>
      <c r="B30" s="39" t="s">
        <v>94</v>
      </c>
      <c r="C30" s="594" t="s">
        <v>95</v>
      </c>
      <c r="D30" s="594"/>
      <c r="E30" s="39">
        <v>31.29</v>
      </c>
      <c r="F30" s="40">
        <v>3285</v>
      </c>
      <c r="G30" s="4">
        <f t="shared" si="30"/>
        <v>102787.65</v>
      </c>
      <c r="H30" s="48" t="s">
        <v>126</v>
      </c>
      <c r="I30" s="17">
        <v>18</v>
      </c>
      <c r="J30" s="43">
        <v>2400</v>
      </c>
      <c r="K30" s="18">
        <f t="shared" si="23"/>
        <v>133.33333333333334</v>
      </c>
      <c r="L30" s="17">
        <v>18</v>
      </c>
      <c r="M30" s="19">
        <f t="shared" si="31"/>
        <v>2291.8604651162786</v>
      </c>
      <c r="N30" s="18">
        <f t="shared" si="24"/>
        <v>127.32558139534882</v>
      </c>
      <c r="O30" s="20">
        <f t="shared" si="25"/>
        <v>0</v>
      </c>
      <c r="P30" s="21">
        <f t="shared" si="26"/>
        <v>-6.0077519379845228</v>
      </c>
      <c r="Q30" s="22">
        <f t="shared" si="27"/>
        <v>0.95494186046511609</v>
      </c>
      <c r="R30" s="573"/>
      <c r="S30" s="49">
        <v>0.52361111111111103</v>
      </c>
      <c r="T30" s="49">
        <v>0.58333333333333326</v>
      </c>
      <c r="U30" s="4">
        <f t="shared" si="33"/>
        <v>59.999999999999943</v>
      </c>
      <c r="V30" s="24">
        <f t="shared" si="32"/>
        <v>86.000000000000014</v>
      </c>
      <c r="W30" s="25"/>
      <c r="X30" s="25"/>
      <c r="Y30" s="25"/>
      <c r="Z30" s="25"/>
      <c r="AA30" s="575"/>
      <c r="AB30" s="575"/>
      <c r="AC30" s="50"/>
      <c r="AD30" s="27"/>
      <c r="AE30" s="20">
        <f t="shared" si="28"/>
        <v>-108.13953488372135</v>
      </c>
      <c r="AF30" s="22">
        <f t="shared" si="29"/>
        <v>0.95494186046511609</v>
      </c>
      <c r="AG30" s="573"/>
    </row>
    <row r="31" spans="1:33" ht="15.75" customHeight="1">
      <c r="A31" s="595" t="s">
        <v>55</v>
      </c>
      <c r="B31" s="39" t="s">
        <v>46</v>
      </c>
      <c r="C31" s="576"/>
      <c r="D31" s="576"/>
      <c r="E31" s="41"/>
      <c r="F31" s="40"/>
      <c r="G31" s="4"/>
      <c r="H31" s="40"/>
      <c r="I31" s="32">
        <v>17.8</v>
      </c>
      <c r="J31" s="43">
        <v>2400</v>
      </c>
      <c r="K31" s="18">
        <f t="shared" si="23"/>
        <v>134.83146067415728</v>
      </c>
      <c r="L31" s="32">
        <v>17.8</v>
      </c>
      <c r="M31" s="19">
        <f>AVERAGE(M26:M30)</f>
        <v>2288.401136647472</v>
      </c>
      <c r="N31" s="18">
        <f t="shared" si="24"/>
        <v>128.56186160940854</v>
      </c>
      <c r="O31" s="20">
        <f t="shared" si="25"/>
        <v>0</v>
      </c>
      <c r="P31" s="21">
        <f t="shared" si="26"/>
        <v>-6.2695990647487463</v>
      </c>
      <c r="Q31" s="22">
        <f t="shared" si="27"/>
        <v>0.95350047360311341</v>
      </c>
      <c r="R31" s="573"/>
      <c r="S31" s="49"/>
      <c r="T31" s="49"/>
      <c r="U31" s="4"/>
      <c r="V31" s="24"/>
      <c r="W31" s="4"/>
      <c r="X31" s="4"/>
      <c r="Y31" s="33">
        <f>SUM(Y26:Y30)</f>
        <v>0</v>
      </c>
      <c r="Z31" s="33">
        <f>SUM(Z26:Z30)</f>
        <v>0</v>
      </c>
      <c r="AA31" s="572"/>
      <c r="AB31" s="572"/>
      <c r="AC31" s="33">
        <f>SUM(AC26:AC30)</f>
        <v>5</v>
      </c>
      <c r="AD31" s="33">
        <f>SUM(AD26:AD30)</f>
        <v>0</v>
      </c>
      <c r="AE31" s="20">
        <f t="shared" si="28"/>
        <v>-111.59886335252804</v>
      </c>
      <c r="AF31" s="22">
        <f t="shared" si="29"/>
        <v>0.9535004736031133</v>
      </c>
      <c r="AG31" s="573"/>
    </row>
    <row r="32" spans="1:33" ht="15.75" customHeight="1">
      <c r="A32" s="592" t="s">
        <v>58</v>
      </c>
      <c r="B32" s="39" t="s">
        <v>94</v>
      </c>
      <c r="C32" s="574" t="s">
        <v>99</v>
      </c>
      <c r="D32" s="574"/>
      <c r="E32" s="39">
        <v>20.36</v>
      </c>
      <c r="F32" s="40">
        <v>5524</v>
      </c>
      <c r="G32" s="4">
        <f t="shared" ref="G32:G37" si="34">E32*F32</f>
        <v>112468.64</v>
      </c>
      <c r="H32" s="48" t="s">
        <v>126</v>
      </c>
      <c r="I32" s="17">
        <v>18</v>
      </c>
      <c r="J32" s="43">
        <v>2400</v>
      </c>
      <c r="K32" s="18">
        <f t="shared" si="23"/>
        <v>133.33333333333334</v>
      </c>
      <c r="L32" s="17">
        <v>18</v>
      </c>
      <c r="M32" s="19">
        <f t="shared" ref="M32:M37" si="35">F32/V32*60</f>
        <v>2285.7931034482758</v>
      </c>
      <c r="N32" s="18">
        <f t="shared" si="24"/>
        <v>126.98850574712644</v>
      </c>
      <c r="O32" s="20">
        <f t="shared" si="25"/>
        <v>0</v>
      </c>
      <c r="P32" s="21">
        <f t="shared" si="26"/>
        <v>-6.3448275862069039</v>
      </c>
      <c r="Q32" s="22">
        <f t="shared" si="27"/>
        <v>0.9524137931034482</v>
      </c>
      <c r="R32" s="573">
        <f>Q38</f>
        <v>0.95785189544940352</v>
      </c>
      <c r="S32" s="49">
        <v>8.3333333333333329E-2</v>
      </c>
      <c r="T32" s="49">
        <v>0.18402777777777776</v>
      </c>
      <c r="U32" s="4"/>
      <c r="V32" s="24">
        <f t="shared" ref="V32:V37" si="36">(T32-S32)*24*60</f>
        <v>145</v>
      </c>
      <c r="W32" s="30">
        <f>T32</f>
        <v>0.18402777777777776</v>
      </c>
      <c r="X32" s="30">
        <f>S33</f>
        <v>0.20416666666666666</v>
      </c>
      <c r="Y32" s="30"/>
      <c r="Z32" s="30"/>
      <c r="AA32" s="575"/>
      <c r="AB32" s="575"/>
      <c r="AC32" s="50">
        <v>6</v>
      </c>
      <c r="AD32" s="27"/>
      <c r="AE32" s="20">
        <f t="shared" si="28"/>
        <v>-114.20689655172418</v>
      </c>
      <c r="AF32" s="22">
        <f t="shared" si="29"/>
        <v>0.9524137931034482</v>
      </c>
      <c r="AG32" s="573">
        <f>AF38</f>
        <v>0.95785189544940352</v>
      </c>
    </row>
    <row r="33" spans="1:33" ht="15.75" customHeight="1">
      <c r="A33" s="592" t="s">
        <v>58</v>
      </c>
      <c r="B33" s="39" t="s">
        <v>94</v>
      </c>
      <c r="C33" s="574" t="s">
        <v>100</v>
      </c>
      <c r="D33" s="574"/>
      <c r="E33" s="39">
        <v>24.43</v>
      </c>
      <c r="F33" s="40">
        <v>5648</v>
      </c>
      <c r="G33" s="4">
        <f t="shared" si="34"/>
        <v>137980.63999999998</v>
      </c>
      <c r="H33" s="48" t="s">
        <v>126</v>
      </c>
      <c r="I33" s="17">
        <v>14</v>
      </c>
      <c r="J33" s="43">
        <v>2400</v>
      </c>
      <c r="K33" s="18">
        <f t="shared" si="23"/>
        <v>171.42857142857142</v>
      </c>
      <c r="L33" s="17">
        <v>14</v>
      </c>
      <c r="M33" s="19">
        <f t="shared" si="35"/>
        <v>2289.7297297297291</v>
      </c>
      <c r="N33" s="18">
        <f t="shared" si="24"/>
        <v>163.5521235521235</v>
      </c>
      <c r="O33" s="20">
        <f t="shared" si="25"/>
        <v>0</v>
      </c>
      <c r="P33" s="21">
        <f t="shared" si="26"/>
        <v>-7.8764478764479122</v>
      </c>
      <c r="Q33" s="22">
        <f t="shared" si="27"/>
        <v>0.95405405405405386</v>
      </c>
      <c r="R33" s="573"/>
      <c r="S33" s="49">
        <v>0.20416666666666666</v>
      </c>
      <c r="T33" s="49">
        <v>0.30694444444444446</v>
      </c>
      <c r="U33" s="4">
        <f t="shared" ref="U33:U37" si="37">(S33-T32)*24*60</f>
        <v>29.000000000000018</v>
      </c>
      <c r="V33" s="24">
        <f t="shared" si="36"/>
        <v>148.00000000000003</v>
      </c>
      <c r="W33" s="4"/>
      <c r="X33" s="4"/>
      <c r="Y33" s="4"/>
      <c r="Z33" s="4"/>
      <c r="AA33" s="575"/>
      <c r="AB33" s="575"/>
      <c r="AC33" s="50"/>
      <c r="AD33" s="27"/>
      <c r="AE33" s="20">
        <f t="shared" si="28"/>
        <v>-110.27027027027088</v>
      </c>
      <c r="AF33" s="22">
        <f t="shared" si="29"/>
        <v>0.95405405405405375</v>
      </c>
      <c r="AG33" s="573"/>
    </row>
    <row r="34" spans="1:33">
      <c r="A34" s="593" t="s">
        <v>58</v>
      </c>
      <c r="B34" s="39" t="s">
        <v>94</v>
      </c>
      <c r="C34" s="574" t="s">
        <v>101</v>
      </c>
      <c r="D34" s="574"/>
      <c r="E34" s="39">
        <v>25.98</v>
      </c>
      <c r="F34" s="40">
        <v>2630</v>
      </c>
      <c r="G34" s="4">
        <f t="shared" si="34"/>
        <v>68327.399999999994</v>
      </c>
      <c r="H34" s="48" t="s">
        <v>126</v>
      </c>
      <c r="I34" s="17">
        <v>21</v>
      </c>
      <c r="J34" s="43">
        <v>2400</v>
      </c>
      <c r="K34" s="18">
        <f t="shared" si="23"/>
        <v>114.28571428571429</v>
      </c>
      <c r="L34" s="17">
        <v>21</v>
      </c>
      <c r="M34" s="19">
        <f t="shared" si="35"/>
        <v>2286.9565217391305</v>
      </c>
      <c r="N34" s="18">
        <f t="shared" si="24"/>
        <v>108.90269151138716</v>
      </c>
      <c r="O34" s="20">
        <f t="shared" si="25"/>
        <v>0</v>
      </c>
      <c r="P34" s="21">
        <f t="shared" si="26"/>
        <v>-5.3830227743271308</v>
      </c>
      <c r="Q34" s="22">
        <f t="shared" si="27"/>
        <v>0.95289855072463758</v>
      </c>
      <c r="R34" s="573"/>
      <c r="S34" s="49">
        <v>0.31041666666666667</v>
      </c>
      <c r="T34" s="49">
        <v>0.35833333333333334</v>
      </c>
      <c r="U34" s="4">
        <f t="shared" si="37"/>
        <v>4.9999999999999822</v>
      </c>
      <c r="V34" s="24">
        <f t="shared" si="36"/>
        <v>69</v>
      </c>
      <c r="W34" s="4"/>
      <c r="X34" s="4"/>
      <c r="Y34" s="4"/>
      <c r="Z34" s="4"/>
      <c r="AA34" s="575"/>
      <c r="AB34" s="575"/>
      <c r="AC34" s="50"/>
      <c r="AD34" s="27"/>
      <c r="AE34" s="20">
        <f t="shared" si="28"/>
        <v>-113.04347826086951</v>
      </c>
      <c r="AF34" s="22">
        <f t="shared" si="29"/>
        <v>0.95289855072463769</v>
      </c>
      <c r="AG34" s="573"/>
    </row>
    <row r="35" spans="1:33">
      <c r="A35" s="593" t="s">
        <v>58</v>
      </c>
      <c r="B35" s="39" t="s">
        <v>94</v>
      </c>
      <c r="C35" s="574" t="s">
        <v>102</v>
      </c>
      <c r="D35" s="574"/>
      <c r="E35" s="39">
        <v>34.1</v>
      </c>
      <c r="F35" s="40">
        <v>3700</v>
      </c>
      <c r="G35" s="4">
        <f t="shared" si="34"/>
        <v>126170</v>
      </c>
      <c r="H35" s="48">
        <v>2</v>
      </c>
      <c r="I35" s="17">
        <v>17</v>
      </c>
      <c r="J35" s="43">
        <v>1600</v>
      </c>
      <c r="K35" s="18">
        <f t="shared" si="23"/>
        <v>94.117647058823536</v>
      </c>
      <c r="L35" s="17">
        <v>17</v>
      </c>
      <c r="M35" s="19">
        <f t="shared" si="35"/>
        <v>1531.0344827586209</v>
      </c>
      <c r="N35" s="18">
        <f t="shared" si="24"/>
        <v>90.060851926977705</v>
      </c>
      <c r="O35" s="20">
        <f t="shared" si="25"/>
        <v>0</v>
      </c>
      <c r="P35" s="21">
        <f t="shared" si="26"/>
        <v>-4.0567951318458313</v>
      </c>
      <c r="Q35" s="22">
        <f t="shared" si="27"/>
        <v>0.95689655172413801</v>
      </c>
      <c r="R35" s="573"/>
      <c r="S35" s="49">
        <v>0.36388888888888887</v>
      </c>
      <c r="T35" s="49">
        <v>0.46458333333333329</v>
      </c>
      <c r="U35" s="4">
        <f t="shared" si="37"/>
        <v>7.9999999999999716</v>
      </c>
      <c r="V35" s="24">
        <f t="shared" si="36"/>
        <v>144.99999999999997</v>
      </c>
      <c r="W35" s="25"/>
      <c r="X35" s="25"/>
      <c r="Y35" s="25"/>
      <c r="Z35" s="25"/>
      <c r="AA35" s="575"/>
      <c r="AB35" s="575"/>
      <c r="AC35" s="50"/>
      <c r="AD35" s="27"/>
      <c r="AE35" s="20">
        <f t="shared" si="28"/>
        <v>-68.965517241379075</v>
      </c>
      <c r="AF35" s="22">
        <f t="shared" si="29"/>
        <v>0.95689655172413812</v>
      </c>
      <c r="AG35" s="573"/>
    </row>
    <row r="36" spans="1:33">
      <c r="A36" s="593" t="s">
        <v>59</v>
      </c>
      <c r="B36" s="39" t="s">
        <v>94</v>
      </c>
      <c r="C36" s="574" t="s">
        <v>103</v>
      </c>
      <c r="D36" s="574"/>
      <c r="E36" s="39">
        <v>20.2</v>
      </c>
      <c r="F36" s="40">
        <v>1674</v>
      </c>
      <c r="G36" s="4">
        <f t="shared" si="34"/>
        <v>33814.799999999996</v>
      </c>
      <c r="H36" s="48" t="s">
        <v>126</v>
      </c>
      <c r="I36" s="17">
        <v>15</v>
      </c>
      <c r="J36" s="43">
        <v>2400</v>
      </c>
      <c r="K36" s="18">
        <f t="shared" si="23"/>
        <v>160</v>
      </c>
      <c r="L36" s="17">
        <v>15</v>
      </c>
      <c r="M36" s="19">
        <f t="shared" si="35"/>
        <v>2335.8139534883717</v>
      </c>
      <c r="N36" s="18">
        <f t="shared" si="24"/>
        <v>155.72093023255812</v>
      </c>
      <c r="O36" s="20">
        <f t="shared" si="25"/>
        <v>0</v>
      </c>
      <c r="P36" s="21">
        <f t="shared" si="26"/>
        <v>-4.2790697674418823</v>
      </c>
      <c r="Q36" s="22">
        <f t="shared" si="27"/>
        <v>0.97325581395348826</v>
      </c>
      <c r="R36" s="573"/>
      <c r="S36" s="49">
        <v>0.46944444444444439</v>
      </c>
      <c r="T36" s="49">
        <v>0.4993055555555555</v>
      </c>
      <c r="U36" s="4">
        <f t="shared" si="37"/>
        <v>6.9999999999999751</v>
      </c>
      <c r="V36" s="24">
        <f t="shared" si="36"/>
        <v>43.000000000000007</v>
      </c>
      <c r="W36" s="25">
        <f>T36</f>
        <v>0.4993055555555555</v>
      </c>
      <c r="X36" s="25">
        <f>S37</f>
        <v>0.54166666666666663</v>
      </c>
      <c r="Y36" s="25"/>
      <c r="Z36" s="25"/>
      <c r="AA36" s="575"/>
      <c r="AB36" s="575"/>
      <c r="AC36" s="50"/>
      <c r="AD36" s="27"/>
      <c r="AE36" s="20">
        <f t="shared" si="28"/>
        <v>-64.186046511628319</v>
      </c>
      <c r="AF36" s="22">
        <f t="shared" si="29"/>
        <v>0.97325581395348815</v>
      </c>
      <c r="AG36" s="573"/>
    </row>
    <row r="37" spans="1:33">
      <c r="A37" s="593" t="s">
        <v>58</v>
      </c>
      <c r="B37" s="39" t="s">
        <v>94</v>
      </c>
      <c r="C37" s="574" t="s">
        <v>102</v>
      </c>
      <c r="D37" s="574"/>
      <c r="E37" s="39">
        <v>34.1</v>
      </c>
      <c r="F37" s="40">
        <v>2603</v>
      </c>
      <c r="G37" s="4">
        <f t="shared" si="34"/>
        <v>88762.3</v>
      </c>
      <c r="H37" s="48" t="s">
        <v>126</v>
      </c>
      <c r="I37" s="17">
        <v>17</v>
      </c>
      <c r="J37" s="43">
        <v>1600</v>
      </c>
      <c r="K37" s="18">
        <f t="shared" si="23"/>
        <v>94.117647058823536</v>
      </c>
      <c r="L37" s="17">
        <v>17</v>
      </c>
      <c r="M37" s="19">
        <f t="shared" si="35"/>
        <v>1531.176470588236</v>
      </c>
      <c r="N37" s="18">
        <f t="shared" si="24"/>
        <v>90.069204152249185</v>
      </c>
      <c r="O37" s="20">
        <f t="shared" si="25"/>
        <v>0</v>
      </c>
      <c r="P37" s="21">
        <f t="shared" si="26"/>
        <v>-4.0484429065743512</v>
      </c>
      <c r="Q37" s="22">
        <f t="shared" si="27"/>
        <v>0.95698529411764754</v>
      </c>
      <c r="R37" s="573"/>
      <c r="S37" s="49">
        <v>0.54166666666666663</v>
      </c>
      <c r="T37" s="49">
        <v>0.61249999999999993</v>
      </c>
      <c r="U37" s="4">
        <f t="shared" si="37"/>
        <v>61.000000000000021</v>
      </c>
      <c r="V37" s="24">
        <f t="shared" si="36"/>
        <v>101.99999999999996</v>
      </c>
      <c r="W37" s="25"/>
      <c r="X37" s="25"/>
      <c r="Y37" s="25"/>
      <c r="Z37" s="25"/>
      <c r="AA37" s="575"/>
      <c r="AB37" s="575"/>
      <c r="AC37" s="50"/>
      <c r="AD37" s="27"/>
      <c r="AE37" s="20">
        <f t="shared" si="28"/>
        <v>-68.823529411763957</v>
      </c>
      <c r="AF37" s="22">
        <f t="shared" si="29"/>
        <v>0.95698529411764754</v>
      </c>
      <c r="AG37" s="573"/>
    </row>
    <row r="38" spans="1:33">
      <c r="A38" s="593" t="s">
        <v>60</v>
      </c>
      <c r="B38" s="42" t="s">
        <v>46</v>
      </c>
      <c r="C38" s="576"/>
      <c r="D38" s="576"/>
      <c r="E38" s="41"/>
      <c r="F38" s="42"/>
      <c r="G38" s="18"/>
      <c r="H38" s="40"/>
      <c r="I38" s="32">
        <v>17</v>
      </c>
      <c r="J38" s="43">
        <v>2133.3333333333335</v>
      </c>
      <c r="K38" s="18">
        <f t="shared" si="23"/>
        <v>125.49019607843138</v>
      </c>
      <c r="L38" s="32">
        <v>17</v>
      </c>
      <c r="M38" s="19">
        <f>AVERAGE(M32:M37)</f>
        <v>2043.4173769587276</v>
      </c>
      <c r="N38" s="18">
        <f t="shared" si="24"/>
        <v>120.20102217404281</v>
      </c>
      <c r="O38" s="20">
        <f t="shared" si="25"/>
        <v>0</v>
      </c>
      <c r="P38" s="21">
        <f t="shared" si="26"/>
        <v>-5.2891739043885764</v>
      </c>
      <c r="Q38" s="22">
        <f t="shared" si="27"/>
        <v>0.95785189544940352</v>
      </c>
      <c r="R38" s="573"/>
      <c r="S38" s="49"/>
      <c r="T38" s="49"/>
      <c r="U38" s="18"/>
      <c r="V38" s="24"/>
      <c r="W38" s="18"/>
      <c r="X38" s="18"/>
      <c r="Y38" s="33">
        <f>SUM(Y32:Y37)</f>
        <v>0</v>
      </c>
      <c r="Z38" s="33">
        <f>SUM(Z32:Z37)</f>
        <v>0</v>
      </c>
      <c r="AA38" s="572"/>
      <c r="AB38" s="572"/>
      <c r="AC38" s="33">
        <f>SUM(AC32:AC37)</f>
        <v>6</v>
      </c>
      <c r="AD38" s="33">
        <f>SUM(AD32:AD37)</f>
        <v>0</v>
      </c>
      <c r="AE38" s="20">
        <f t="shared" si="28"/>
        <v>-89.915956374605912</v>
      </c>
      <c r="AF38" s="22">
        <f t="shared" si="29"/>
        <v>0.95785189544940352</v>
      </c>
      <c r="AG38" s="573"/>
    </row>
    <row r="39" spans="1:33" ht="15.75" customHeight="1">
      <c r="A39" s="589" t="s">
        <v>61</v>
      </c>
      <c r="B39" s="39" t="s">
        <v>104</v>
      </c>
      <c r="C39" s="566" t="s">
        <v>105</v>
      </c>
      <c r="D39" s="567"/>
      <c r="E39" s="39">
        <v>37.880000000000003</v>
      </c>
      <c r="F39" s="40">
        <v>3300</v>
      </c>
      <c r="G39" s="4">
        <f t="shared" ref="G39:G42" si="38">E39*F39</f>
        <v>125004.00000000001</v>
      </c>
      <c r="H39" s="48" t="s">
        <v>126</v>
      </c>
      <c r="I39" s="17">
        <v>13</v>
      </c>
      <c r="J39" s="43">
        <v>2000</v>
      </c>
      <c r="K39" s="18">
        <f t="shared" si="23"/>
        <v>153.84615384615384</v>
      </c>
      <c r="L39" s="17">
        <v>13</v>
      </c>
      <c r="M39" s="19">
        <f t="shared" ref="M39:M42" si="39">F39/V39*60</f>
        <v>1903.8461538461538</v>
      </c>
      <c r="N39" s="19">
        <f t="shared" si="24"/>
        <v>146.44970414201183</v>
      </c>
      <c r="O39" s="20">
        <f t="shared" si="25"/>
        <v>0</v>
      </c>
      <c r="P39" s="21">
        <f t="shared" si="26"/>
        <v>-7.3964497041420145</v>
      </c>
      <c r="Q39" s="22">
        <f t="shared" si="27"/>
        <v>0.95192307692307687</v>
      </c>
      <c r="R39" s="584">
        <f>Q43</f>
        <v>0.95339748056821205</v>
      </c>
      <c r="S39" s="49">
        <v>8.3333333333333329E-2</v>
      </c>
      <c r="T39" s="49">
        <v>0.15555555555555556</v>
      </c>
      <c r="U39" s="30"/>
      <c r="V39" s="24">
        <f t="shared" ref="V39:V42" si="40">(T39-S39)*24*60</f>
        <v>104</v>
      </c>
      <c r="W39" s="25">
        <f>T39</f>
        <v>0.15555555555555556</v>
      </c>
      <c r="X39" s="25">
        <f>S40</f>
        <v>0.17430555555555555</v>
      </c>
      <c r="Y39" s="28"/>
      <c r="Z39" s="28"/>
      <c r="AA39" s="568"/>
      <c r="AB39" s="569"/>
      <c r="AC39" s="50">
        <v>4</v>
      </c>
      <c r="AD39" s="27"/>
      <c r="AE39" s="20">
        <f t="shared" si="28"/>
        <v>-96.153846153846189</v>
      </c>
      <c r="AF39" s="22">
        <f t="shared" si="29"/>
        <v>0.95192307692307687</v>
      </c>
      <c r="AG39" s="584">
        <f>AF43</f>
        <v>0.95339748056821205</v>
      </c>
    </row>
    <row r="40" spans="1:33" ht="15.75" customHeight="1">
      <c r="A40" s="590" t="s">
        <v>61</v>
      </c>
      <c r="B40" s="39" t="s">
        <v>104</v>
      </c>
      <c r="C40" s="566" t="s">
        <v>106</v>
      </c>
      <c r="D40" s="567"/>
      <c r="E40" s="39">
        <v>35.119999999999997</v>
      </c>
      <c r="F40" s="40">
        <v>3898</v>
      </c>
      <c r="G40" s="4">
        <f t="shared" si="38"/>
        <v>136897.75999999998</v>
      </c>
      <c r="H40" s="48" t="s">
        <v>126</v>
      </c>
      <c r="I40" s="17">
        <v>10</v>
      </c>
      <c r="J40" s="43">
        <v>3000</v>
      </c>
      <c r="K40" s="18">
        <f t="shared" si="23"/>
        <v>300</v>
      </c>
      <c r="L40" s="17">
        <v>10</v>
      </c>
      <c r="M40" s="19">
        <f t="shared" si="39"/>
        <v>2852.1951219512202</v>
      </c>
      <c r="N40" s="19">
        <f t="shared" si="24"/>
        <v>285.21951219512204</v>
      </c>
      <c r="O40" s="20">
        <f t="shared" si="25"/>
        <v>0</v>
      </c>
      <c r="P40" s="21">
        <f t="shared" si="26"/>
        <v>-14.780487804877964</v>
      </c>
      <c r="Q40" s="22">
        <f t="shared" si="27"/>
        <v>0.95073170731707346</v>
      </c>
      <c r="R40" s="585"/>
      <c r="S40" s="49">
        <v>0.17430555555555555</v>
      </c>
      <c r="T40" s="49">
        <v>0.23124999999999998</v>
      </c>
      <c r="U40" s="4">
        <f t="shared" ref="U40:U42" si="41">(S40-T39)*24*60</f>
        <v>26.999999999999986</v>
      </c>
      <c r="V40" s="24">
        <f t="shared" si="40"/>
        <v>81.999999999999986</v>
      </c>
      <c r="W40" s="25"/>
      <c r="X40" s="25"/>
      <c r="Y40" s="28"/>
      <c r="Z40" s="28"/>
      <c r="AA40" s="568"/>
      <c r="AB40" s="569"/>
      <c r="AC40" s="50"/>
      <c r="AD40" s="27"/>
      <c r="AE40" s="20">
        <f t="shared" si="28"/>
        <v>-147.80487804877976</v>
      </c>
      <c r="AF40" s="22">
        <f t="shared" si="29"/>
        <v>0.95073170731707346</v>
      </c>
      <c r="AG40" s="585"/>
    </row>
    <row r="41" spans="1:33" ht="15.75" customHeight="1">
      <c r="A41" s="590" t="s">
        <v>61</v>
      </c>
      <c r="B41" s="39" t="s">
        <v>104</v>
      </c>
      <c r="C41" s="566" t="s">
        <v>107</v>
      </c>
      <c r="D41" s="567"/>
      <c r="E41" s="39">
        <v>21.13</v>
      </c>
      <c r="F41" s="40">
        <v>3914</v>
      </c>
      <c r="G41" s="4">
        <f t="shared" si="38"/>
        <v>82702.819999999992</v>
      </c>
      <c r="H41" s="48" t="s">
        <v>126</v>
      </c>
      <c r="I41" s="17">
        <v>10</v>
      </c>
      <c r="J41" s="43">
        <v>3000</v>
      </c>
      <c r="K41" s="18">
        <f t="shared" si="23"/>
        <v>300</v>
      </c>
      <c r="L41" s="17">
        <v>10</v>
      </c>
      <c r="M41" s="19">
        <f t="shared" si="39"/>
        <v>2863.902439024389</v>
      </c>
      <c r="N41" s="19">
        <f t="shared" si="24"/>
        <v>286.3902439024389</v>
      </c>
      <c r="O41" s="20">
        <f t="shared" si="25"/>
        <v>0</v>
      </c>
      <c r="P41" s="21">
        <f t="shared" si="26"/>
        <v>-13.609756097561103</v>
      </c>
      <c r="Q41" s="22">
        <f t="shared" si="27"/>
        <v>0.95463414634146304</v>
      </c>
      <c r="R41" s="585"/>
      <c r="S41" s="49">
        <v>0.23680555555555555</v>
      </c>
      <c r="T41" s="49">
        <v>0.29375000000000001</v>
      </c>
      <c r="U41" s="4">
        <f t="shared" si="41"/>
        <v>8.0000000000000107</v>
      </c>
      <c r="V41" s="24">
        <f t="shared" si="40"/>
        <v>82.000000000000028</v>
      </c>
      <c r="W41" s="25"/>
      <c r="X41" s="25"/>
      <c r="Y41" s="28"/>
      <c r="Z41" s="28"/>
      <c r="AA41" s="568"/>
      <c r="AB41" s="569"/>
      <c r="AC41" s="50"/>
      <c r="AD41" s="27"/>
      <c r="AE41" s="20">
        <f t="shared" si="28"/>
        <v>-136.09756097561103</v>
      </c>
      <c r="AF41" s="22">
        <f t="shared" si="29"/>
        <v>0.95463414634146304</v>
      </c>
      <c r="AG41" s="585"/>
    </row>
    <row r="42" spans="1:33" ht="15.75" customHeight="1">
      <c r="A42" s="590" t="s">
        <v>61</v>
      </c>
      <c r="B42" s="39" t="s">
        <v>104</v>
      </c>
      <c r="C42" s="566" t="s">
        <v>108</v>
      </c>
      <c r="D42" s="567"/>
      <c r="E42" s="39">
        <v>27.17</v>
      </c>
      <c r="F42" s="40">
        <v>5018</v>
      </c>
      <c r="G42" s="4">
        <f t="shared" si="38"/>
        <v>136339.06</v>
      </c>
      <c r="H42" s="48" t="s">
        <v>126</v>
      </c>
      <c r="I42" s="17">
        <v>10</v>
      </c>
      <c r="J42" s="43">
        <v>3000</v>
      </c>
      <c r="K42" s="18">
        <f t="shared" si="23"/>
        <v>300</v>
      </c>
      <c r="L42" s="17">
        <v>10</v>
      </c>
      <c r="M42" s="19">
        <f t="shared" si="39"/>
        <v>2867.4285714285706</v>
      </c>
      <c r="N42" s="19">
        <f t="shared" si="24"/>
        <v>286.74285714285708</v>
      </c>
      <c r="O42" s="20">
        <f t="shared" si="25"/>
        <v>0</v>
      </c>
      <c r="P42" s="21">
        <f t="shared" si="26"/>
        <v>-13.257142857142924</v>
      </c>
      <c r="Q42" s="22">
        <f t="shared" si="27"/>
        <v>0.95580952380952355</v>
      </c>
      <c r="R42" s="585"/>
      <c r="S42" s="49">
        <v>0.29791666666666666</v>
      </c>
      <c r="T42" s="49">
        <v>0.37083333333333335</v>
      </c>
      <c r="U42" s="4">
        <f t="shared" si="41"/>
        <v>5.9999999999999787</v>
      </c>
      <c r="V42" s="24">
        <f t="shared" si="40"/>
        <v>105.00000000000003</v>
      </c>
      <c r="W42" s="25"/>
      <c r="X42" s="25"/>
      <c r="Y42" s="28"/>
      <c r="Z42" s="28"/>
      <c r="AA42" s="568"/>
      <c r="AB42" s="569"/>
      <c r="AC42" s="50"/>
      <c r="AD42" s="27"/>
      <c r="AE42" s="20">
        <f t="shared" si="28"/>
        <v>-132.57142857142935</v>
      </c>
      <c r="AF42" s="22">
        <f t="shared" si="29"/>
        <v>0.95580952380952355</v>
      </c>
      <c r="AG42" s="585"/>
    </row>
    <row r="43" spans="1:33" ht="15.75" customHeight="1">
      <c r="A43" s="591" t="s">
        <v>61</v>
      </c>
      <c r="B43" s="39" t="s">
        <v>46</v>
      </c>
      <c r="C43" s="570"/>
      <c r="D43" s="571"/>
      <c r="E43" s="44"/>
      <c r="F43" s="40"/>
      <c r="G43" s="4"/>
      <c r="H43" s="40"/>
      <c r="I43" s="32">
        <v>10.75</v>
      </c>
      <c r="J43" s="43">
        <v>2750</v>
      </c>
      <c r="K43" s="18">
        <f t="shared" si="23"/>
        <v>255.81395348837211</v>
      </c>
      <c r="L43" s="32">
        <v>10.75</v>
      </c>
      <c r="M43" s="19">
        <f>AVERAGE(M39:M42)</f>
        <v>2621.8430715625832</v>
      </c>
      <c r="N43" s="18">
        <f t="shared" si="24"/>
        <v>243.89237875000774</v>
      </c>
      <c r="O43" s="20">
        <f t="shared" si="25"/>
        <v>0</v>
      </c>
      <c r="P43" s="21">
        <f t="shared" si="26"/>
        <v>-11.92157473836437</v>
      </c>
      <c r="Q43" s="22">
        <f t="shared" si="27"/>
        <v>0.95339748056821205</v>
      </c>
      <c r="R43" s="586"/>
      <c r="S43" s="49"/>
      <c r="T43" s="49"/>
      <c r="U43" s="4"/>
      <c r="V43" s="24"/>
      <c r="W43" s="25"/>
      <c r="X43" s="25"/>
      <c r="Y43" s="33">
        <f>SUM(Y39:Y42)</f>
        <v>0</v>
      </c>
      <c r="Z43" s="33">
        <f>SUM(Z39:Z42)</f>
        <v>0</v>
      </c>
      <c r="AA43" s="587"/>
      <c r="AB43" s="588"/>
      <c r="AC43" s="33">
        <f>SUM(AC39:AC42)</f>
        <v>4</v>
      </c>
      <c r="AD43" s="33">
        <f>SUM(AD39:AD42)</f>
        <v>0</v>
      </c>
      <c r="AE43" s="20">
        <f t="shared" si="28"/>
        <v>-128.15692843741681</v>
      </c>
      <c r="AF43" s="22">
        <f t="shared" si="29"/>
        <v>0.95339748056821205</v>
      </c>
      <c r="AG43" s="586"/>
    </row>
    <row r="44" spans="1:33" ht="15.75" customHeight="1">
      <c r="A44" s="582" t="s">
        <v>62</v>
      </c>
      <c r="B44" s="39" t="s">
        <v>79</v>
      </c>
      <c r="C44" s="574" t="s">
        <v>109</v>
      </c>
      <c r="D44" s="574"/>
      <c r="E44" s="39">
        <v>46</v>
      </c>
      <c r="F44" s="45">
        <v>1810</v>
      </c>
      <c r="G44" s="4">
        <f t="shared" ref="G44:G49" si="42">E44*F44</f>
        <v>83260</v>
      </c>
      <c r="H44" s="48" t="s">
        <v>126</v>
      </c>
      <c r="I44" s="17">
        <v>17</v>
      </c>
      <c r="J44" s="43">
        <v>2000</v>
      </c>
      <c r="K44" s="18">
        <f t="shared" si="23"/>
        <v>117.64705882352941</v>
      </c>
      <c r="L44" s="17">
        <v>17</v>
      </c>
      <c r="M44" s="19">
        <f t="shared" ref="M44" si="43">F44/V44*60</f>
        <v>1905.2631578947369</v>
      </c>
      <c r="N44" s="19">
        <f t="shared" si="24"/>
        <v>112.07430340557276</v>
      </c>
      <c r="O44" s="20">
        <f t="shared" si="25"/>
        <v>0</v>
      </c>
      <c r="P44" s="21">
        <f t="shared" si="26"/>
        <v>-5.5727554179566425</v>
      </c>
      <c r="Q44" s="22">
        <f t="shared" si="27"/>
        <v>0.9526315789473685</v>
      </c>
      <c r="R44" s="573">
        <f>Q50</f>
        <v>0.96243477293523005</v>
      </c>
      <c r="S44" s="49">
        <v>0.20833333333333334</v>
      </c>
      <c r="T44" s="49">
        <v>0.24791666666666667</v>
      </c>
      <c r="U44" s="30"/>
      <c r="V44" s="24">
        <f t="shared" ref="V44:V49" si="44">(T44-S44)*24*60</f>
        <v>57</v>
      </c>
      <c r="W44" s="30"/>
      <c r="X44" s="30"/>
      <c r="Y44" s="30"/>
      <c r="Z44" s="30"/>
      <c r="AA44" s="575"/>
      <c r="AB44" s="575"/>
      <c r="AC44" s="50">
        <v>6</v>
      </c>
      <c r="AD44" s="27"/>
      <c r="AE44" s="20">
        <f t="shared" si="28"/>
        <v>-94.736842105263122</v>
      </c>
      <c r="AF44" s="22">
        <f t="shared" si="29"/>
        <v>0.95263157894736838</v>
      </c>
      <c r="AG44" s="573">
        <f>AF50</f>
        <v>0.96243477293522994</v>
      </c>
    </row>
    <row r="45" spans="1:33" ht="15.75" customHeight="1">
      <c r="A45" s="582" t="s">
        <v>63</v>
      </c>
      <c r="B45" s="39" t="s">
        <v>74</v>
      </c>
      <c r="C45" s="574" t="s">
        <v>110</v>
      </c>
      <c r="D45" s="574"/>
      <c r="E45" s="39">
        <v>56.43</v>
      </c>
      <c r="F45" s="45">
        <v>1155</v>
      </c>
      <c r="G45" s="4">
        <f t="shared" si="42"/>
        <v>65176.65</v>
      </c>
      <c r="H45" s="48" t="s">
        <v>126</v>
      </c>
      <c r="I45" s="17">
        <v>22</v>
      </c>
      <c r="J45" s="43">
        <v>2000</v>
      </c>
      <c r="K45" s="18">
        <f t="shared" si="23"/>
        <v>90.909090909090907</v>
      </c>
      <c r="L45" s="17">
        <v>22</v>
      </c>
      <c r="M45" s="19">
        <f>F45/V45*60</f>
        <v>1924.9999999999984</v>
      </c>
      <c r="N45" s="19">
        <f t="shared" si="24"/>
        <v>87.499999999999929</v>
      </c>
      <c r="O45" s="20">
        <f t="shared" si="25"/>
        <v>0</v>
      </c>
      <c r="P45" s="21">
        <f t="shared" si="26"/>
        <v>-3.4090909090909776</v>
      </c>
      <c r="Q45" s="22">
        <f t="shared" si="27"/>
        <v>0.96249999999999925</v>
      </c>
      <c r="R45" s="573"/>
      <c r="S45" s="49">
        <v>0.25277777777777777</v>
      </c>
      <c r="T45" s="49">
        <v>0.27777777777777779</v>
      </c>
      <c r="U45" s="4">
        <f t="shared" ref="U45:U49" si="45">IF(S45=TIME(17,0,0),"",(S45-T44)*24*60)</f>
        <v>6.9999999999999751</v>
      </c>
      <c r="V45" s="24">
        <f t="shared" si="44"/>
        <v>36.000000000000028</v>
      </c>
      <c r="W45" s="25"/>
      <c r="X45" s="25"/>
      <c r="Y45" s="25"/>
      <c r="Z45" s="25"/>
      <c r="AA45" s="575"/>
      <c r="AB45" s="575"/>
      <c r="AC45" s="50"/>
      <c r="AD45" s="27"/>
      <c r="AE45" s="20">
        <f t="shared" si="28"/>
        <v>-75.000000000001592</v>
      </c>
      <c r="AF45" s="22">
        <f t="shared" si="29"/>
        <v>0.96249999999999925</v>
      </c>
      <c r="AG45" s="573"/>
    </row>
    <row r="46" spans="1:33" ht="15.75" customHeight="1">
      <c r="A46" s="582" t="s">
        <v>63</v>
      </c>
      <c r="B46" s="39" t="s">
        <v>74</v>
      </c>
      <c r="C46" s="566" t="s">
        <v>111</v>
      </c>
      <c r="D46" s="567"/>
      <c r="E46" s="39">
        <v>51.75</v>
      </c>
      <c r="F46" s="45">
        <v>740</v>
      </c>
      <c r="G46" s="4">
        <f t="shared" si="42"/>
        <v>38295</v>
      </c>
      <c r="H46" s="48" t="s">
        <v>126</v>
      </c>
      <c r="I46" s="17">
        <v>25</v>
      </c>
      <c r="J46" s="43">
        <v>2000</v>
      </c>
      <c r="K46" s="18">
        <f t="shared" ref="K46:K64" si="46">J46/I46</f>
        <v>80</v>
      </c>
      <c r="L46" s="17">
        <v>25</v>
      </c>
      <c r="M46" s="19">
        <f t="shared" ref="M46:M49" si="47">F46/V46*60</f>
        <v>1930.4347826086955</v>
      </c>
      <c r="N46" s="19">
        <f t="shared" ref="N46:N64" si="48">M46/L46</f>
        <v>77.217391304347814</v>
      </c>
      <c r="O46" s="20">
        <f t="shared" ref="O46:O64" si="49">L46-I46</f>
        <v>0</v>
      </c>
      <c r="P46" s="21">
        <f t="shared" ref="P46:P64" si="50">N46-K46</f>
        <v>-2.7826086956521863</v>
      </c>
      <c r="Q46" s="22">
        <f t="shared" ref="Q46:Q64" si="51">N46/K46</f>
        <v>0.96521739130434769</v>
      </c>
      <c r="R46" s="573"/>
      <c r="S46" s="49">
        <v>0.28333333333333333</v>
      </c>
      <c r="T46" s="49">
        <v>0.29930555555555555</v>
      </c>
      <c r="U46" s="4">
        <f t="shared" si="45"/>
        <v>7.9999999999999716</v>
      </c>
      <c r="V46" s="24">
        <f t="shared" si="44"/>
        <v>23</v>
      </c>
      <c r="W46" s="25"/>
      <c r="X46" s="25"/>
      <c r="Y46" s="28"/>
      <c r="Z46" s="28"/>
      <c r="AA46" s="575"/>
      <c r="AB46" s="575"/>
      <c r="AC46" s="50"/>
      <c r="AD46" s="27"/>
      <c r="AE46" s="20">
        <f t="shared" ref="AE46:AE49" si="52">M46-J46</f>
        <v>-69.565217391304486</v>
      </c>
      <c r="AF46" s="22">
        <f t="shared" ref="AF46:AF64" si="53">M46/J46</f>
        <v>0.9652173913043478</v>
      </c>
      <c r="AG46" s="573"/>
    </row>
    <row r="47" spans="1:33" ht="15.75" customHeight="1">
      <c r="A47" s="582" t="s">
        <v>63</v>
      </c>
      <c r="B47" s="39" t="s">
        <v>74</v>
      </c>
      <c r="C47" s="46" t="s">
        <v>112</v>
      </c>
      <c r="D47" s="47"/>
      <c r="E47" s="39">
        <v>55.32</v>
      </c>
      <c r="F47" s="45">
        <v>1176</v>
      </c>
      <c r="G47" s="4">
        <f t="shared" si="42"/>
        <v>65056.32</v>
      </c>
      <c r="H47" s="48" t="s">
        <v>126</v>
      </c>
      <c r="I47" s="17">
        <v>15</v>
      </c>
      <c r="J47" s="43">
        <v>2000</v>
      </c>
      <c r="K47" s="18">
        <f t="shared" si="46"/>
        <v>133.33333333333334</v>
      </c>
      <c r="L47" s="17">
        <v>15</v>
      </c>
      <c r="M47" s="19">
        <f t="shared" si="47"/>
        <v>1907.0270270270257</v>
      </c>
      <c r="N47" s="19">
        <f t="shared" si="48"/>
        <v>127.13513513513504</v>
      </c>
      <c r="O47" s="20">
        <f t="shared" si="49"/>
        <v>0</v>
      </c>
      <c r="P47" s="21">
        <f t="shared" si="50"/>
        <v>-6.1981981981982983</v>
      </c>
      <c r="Q47" s="22">
        <f t="shared" si="51"/>
        <v>0.95351351351351277</v>
      </c>
      <c r="R47" s="573"/>
      <c r="S47" s="49">
        <v>0.70833333333333337</v>
      </c>
      <c r="T47" s="49">
        <v>0.73402777777777783</v>
      </c>
      <c r="U47" s="4" t="str">
        <f t="shared" si="45"/>
        <v/>
      </c>
      <c r="V47" s="24">
        <f t="shared" si="44"/>
        <v>37.000000000000028</v>
      </c>
      <c r="W47" s="25"/>
      <c r="X47" s="25"/>
      <c r="Y47" s="28"/>
      <c r="Z47" s="28"/>
      <c r="AA47" s="575"/>
      <c r="AB47" s="575"/>
      <c r="AC47" s="50"/>
      <c r="AD47" s="27"/>
      <c r="AE47" s="20">
        <f t="shared" si="52"/>
        <v>-92.972972972974276</v>
      </c>
      <c r="AF47" s="22">
        <f t="shared" si="53"/>
        <v>0.95351351351351288</v>
      </c>
      <c r="AG47" s="573"/>
    </row>
    <row r="48" spans="1:33" ht="15.75" customHeight="1">
      <c r="A48" s="582" t="s">
        <v>64</v>
      </c>
      <c r="B48" s="39" t="s">
        <v>74</v>
      </c>
      <c r="C48" s="46" t="s">
        <v>113</v>
      </c>
      <c r="D48" s="47"/>
      <c r="E48" s="39">
        <v>55.56</v>
      </c>
      <c r="F48" s="45">
        <v>1675</v>
      </c>
      <c r="G48" s="4">
        <f t="shared" si="42"/>
        <v>93063</v>
      </c>
      <c r="H48" s="48" t="s">
        <v>126</v>
      </c>
      <c r="I48" s="17">
        <v>17</v>
      </c>
      <c r="J48" s="43">
        <v>2000</v>
      </c>
      <c r="K48" s="18">
        <f t="shared" si="46"/>
        <v>117.64705882352941</v>
      </c>
      <c r="L48" s="17">
        <v>17</v>
      </c>
      <c r="M48" s="19">
        <f t="shared" si="47"/>
        <v>1932.692307692309</v>
      </c>
      <c r="N48" s="19">
        <f t="shared" si="48"/>
        <v>113.68778280542995</v>
      </c>
      <c r="O48" s="20">
        <f t="shared" si="49"/>
        <v>0</v>
      </c>
      <c r="P48" s="21">
        <f t="shared" si="50"/>
        <v>-3.9592760180994588</v>
      </c>
      <c r="Q48" s="22">
        <f t="shared" si="51"/>
        <v>0.96634615384615463</v>
      </c>
      <c r="R48" s="573"/>
      <c r="S48" s="49">
        <v>0.73888888888888893</v>
      </c>
      <c r="T48" s="49">
        <v>0.77500000000000002</v>
      </c>
      <c r="U48" s="4">
        <f t="shared" si="45"/>
        <v>6.9999999999999751</v>
      </c>
      <c r="V48" s="24">
        <f t="shared" si="44"/>
        <v>51.999999999999972</v>
      </c>
      <c r="W48" s="25"/>
      <c r="X48" s="25"/>
      <c r="Y48" s="28"/>
      <c r="Z48" s="28"/>
      <c r="AA48" s="575"/>
      <c r="AB48" s="575"/>
      <c r="AC48" s="50"/>
      <c r="AD48" s="27"/>
      <c r="AE48" s="20">
        <f t="shared" si="52"/>
        <v>-67.307692307691013</v>
      </c>
      <c r="AF48" s="22">
        <f t="shared" si="53"/>
        <v>0.96634615384615452</v>
      </c>
      <c r="AG48" s="573"/>
    </row>
    <row r="49" spans="1:33" ht="15.75" customHeight="1">
      <c r="A49" s="582" t="s">
        <v>63</v>
      </c>
      <c r="B49" s="39" t="s">
        <v>74</v>
      </c>
      <c r="C49" s="566" t="s">
        <v>114</v>
      </c>
      <c r="D49" s="567"/>
      <c r="E49" s="39">
        <v>54.29</v>
      </c>
      <c r="F49" s="45">
        <v>812</v>
      </c>
      <c r="G49" s="4">
        <f t="shared" si="42"/>
        <v>44083.479999999996</v>
      </c>
      <c r="H49" s="48" t="s">
        <v>126</v>
      </c>
      <c r="I49" s="17">
        <v>20</v>
      </c>
      <c r="J49" s="43">
        <v>2000</v>
      </c>
      <c r="K49" s="18">
        <f t="shared" si="46"/>
        <v>100</v>
      </c>
      <c r="L49" s="17">
        <v>20</v>
      </c>
      <c r="M49" s="19">
        <f t="shared" si="47"/>
        <v>1948.7999999999943</v>
      </c>
      <c r="N49" s="19">
        <f t="shared" si="48"/>
        <v>97.439999999999714</v>
      </c>
      <c r="O49" s="20">
        <f t="shared" si="49"/>
        <v>0</v>
      </c>
      <c r="P49" s="21">
        <f t="shared" si="50"/>
        <v>-2.5600000000002865</v>
      </c>
      <c r="Q49" s="22">
        <f t="shared" si="51"/>
        <v>0.97439999999999716</v>
      </c>
      <c r="R49" s="573"/>
      <c r="S49" s="49">
        <v>0.77916666666666667</v>
      </c>
      <c r="T49" s="49">
        <v>0.79652777777777783</v>
      </c>
      <c r="U49" s="4">
        <f t="shared" si="45"/>
        <v>5.9999999999999787</v>
      </c>
      <c r="V49" s="24">
        <f t="shared" si="44"/>
        <v>25.000000000000071</v>
      </c>
      <c r="W49" s="25"/>
      <c r="X49" s="25"/>
      <c r="Y49" s="28"/>
      <c r="Z49" s="28"/>
      <c r="AA49" s="568"/>
      <c r="AB49" s="569"/>
      <c r="AC49" s="50"/>
      <c r="AD49" s="27"/>
      <c r="AE49" s="20">
        <f t="shared" si="52"/>
        <v>-51.20000000000573</v>
      </c>
      <c r="AF49" s="22">
        <f t="shared" si="53"/>
        <v>0.97439999999999716</v>
      </c>
      <c r="AG49" s="573"/>
    </row>
    <row r="50" spans="1:33">
      <c r="A50" s="583" t="s">
        <v>65</v>
      </c>
      <c r="B50" s="39" t="s">
        <v>46</v>
      </c>
      <c r="C50" s="576"/>
      <c r="D50" s="576"/>
      <c r="E50" s="41"/>
      <c r="F50" s="42"/>
      <c r="G50" s="18"/>
      <c r="H50" s="40"/>
      <c r="I50" s="32">
        <v>19.333333333333332</v>
      </c>
      <c r="J50" s="43">
        <v>2000</v>
      </c>
      <c r="K50" s="18">
        <f t="shared" si="46"/>
        <v>103.44827586206897</v>
      </c>
      <c r="L50" s="32">
        <v>19.333333333333332</v>
      </c>
      <c r="M50" s="19">
        <f>AVERAGE(M44:M49)</f>
        <v>1924.8695458704599</v>
      </c>
      <c r="N50" s="18">
        <f t="shared" si="48"/>
        <v>99.562217889851382</v>
      </c>
      <c r="O50" s="20">
        <f t="shared" si="49"/>
        <v>0</v>
      </c>
      <c r="P50" s="21">
        <f t="shared" si="50"/>
        <v>-3.8860579722175856</v>
      </c>
      <c r="Q50" s="22">
        <f t="shared" si="51"/>
        <v>0.96243477293523005</v>
      </c>
      <c r="R50" s="573"/>
      <c r="S50" s="49"/>
      <c r="T50" s="49"/>
      <c r="U50" s="4"/>
      <c r="V50" s="24"/>
      <c r="W50" s="18"/>
      <c r="X50" s="18"/>
      <c r="Y50" s="33">
        <f>SUM(Y44:Y49)</f>
        <v>0</v>
      </c>
      <c r="Z50" s="33">
        <f>SUM(Z44:Z49)</f>
        <v>0</v>
      </c>
      <c r="AA50" s="572"/>
      <c r="AB50" s="572"/>
      <c r="AC50" s="33">
        <f>SUM(AC44:AC49)</f>
        <v>6</v>
      </c>
      <c r="AD50" s="33">
        <f>SUM(AD44:AD49)</f>
        <v>0</v>
      </c>
      <c r="AE50" s="20">
        <f>M50-J50</f>
        <v>-75.130454129540112</v>
      </c>
      <c r="AF50" s="22">
        <f t="shared" si="53"/>
        <v>0.96243477293522994</v>
      </c>
      <c r="AG50" s="573"/>
    </row>
    <row r="51" spans="1:33" ht="15.75" customHeight="1">
      <c r="A51" s="580" t="s">
        <v>66</v>
      </c>
      <c r="B51" s="40" t="s">
        <v>104</v>
      </c>
      <c r="C51" s="574" t="s">
        <v>115</v>
      </c>
      <c r="D51" s="574"/>
      <c r="E51" s="39">
        <v>34.36</v>
      </c>
      <c r="F51" s="45">
        <v>1505</v>
      </c>
      <c r="G51" s="4">
        <f t="shared" ref="G51:G56" si="54">E51*F51</f>
        <v>51711.799999999996</v>
      </c>
      <c r="H51" s="48" t="s">
        <v>126</v>
      </c>
      <c r="I51" s="17">
        <v>10</v>
      </c>
      <c r="J51" s="43">
        <v>3000</v>
      </c>
      <c r="K51" s="18">
        <f t="shared" si="46"/>
        <v>300</v>
      </c>
      <c r="L51" s="17">
        <v>10</v>
      </c>
      <c r="M51" s="19">
        <f t="shared" ref="M51:M56" si="55">F51/V51*60</f>
        <v>2912.9032258064508</v>
      </c>
      <c r="N51" s="18">
        <f t="shared" si="48"/>
        <v>291.29032258064507</v>
      </c>
      <c r="O51" s="20">
        <f t="shared" si="49"/>
        <v>0</v>
      </c>
      <c r="P51" s="21">
        <f t="shared" si="50"/>
        <v>-8.7096774193549322</v>
      </c>
      <c r="Q51" s="22">
        <f t="shared" si="51"/>
        <v>0.97096774193548352</v>
      </c>
      <c r="R51" s="573">
        <f>Q57</f>
        <v>0.96568356374807973</v>
      </c>
      <c r="S51" s="49">
        <v>0.20833333333333334</v>
      </c>
      <c r="T51" s="49">
        <v>0.22986111111111113</v>
      </c>
      <c r="U51" s="4"/>
      <c r="V51" s="24">
        <f t="shared" ref="V51:V56" si="56">(T51-S51)*24*60</f>
        <v>31.000000000000011</v>
      </c>
      <c r="W51" s="30"/>
      <c r="X51" s="30"/>
      <c r="Y51" s="30"/>
      <c r="Z51" s="30"/>
      <c r="AA51" s="575"/>
      <c r="AB51" s="575"/>
      <c r="AC51" s="50">
        <v>6</v>
      </c>
      <c r="AD51" s="27"/>
      <c r="AE51" s="20">
        <f t="shared" ref="AE51:AE64" si="57">M51-J51</f>
        <v>-87.096774193549209</v>
      </c>
      <c r="AF51" s="22">
        <f t="shared" si="53"/>
        <v>0.97096774193548363</v>
      </c>
      <c r="AG51" s="573">
        <f>AF57</f>
        <v>0.96568356374807973</v>
      </c>
    </row>
    <row r="52" spans="1:33" ht="15.75" customHeight="1">
      <c r="A52" s="580" t="s">
        <v>67</v>
      </c>
      <c r="B52" s="40" t="s">
        <v>104</v>
      </c>
      <c r="C52" s="574" t="s">
        <v>116</v>
      </c>
      <c r="D52" s="574"/>
      <c r="E52" s="39">
        <v>34.36</v>
      </c>
      <c r="F52" s="45">
        <v>720</v>
      </c>
      <c r="G52" s="4">
        <f t="shared" si="54"/>
        <v>24739.200000000001</v>
      </c>
      <c r="H52" s="48" t="s">
        <v>126</v>
      </c>
      <c r="I52" s="17">
        <v>10</v>
      </c>
      <c r="J52" s="43">
        <v>3000</v>
      </c>
      <c r="K52" s="18">
        <f t="shared" si="46"/>
        <v>300</v>
      </c>
      <c r="L52" s="17">
        <v>10</v>
      </c>
      <c r="M52" s="19">
        <f t="shared" si="55"/>
        <v>2880.0000000000027</v>
      </c>
      <c r="N52" s="18">
        <f t="shared" si="48"/>
        <v>288.00000000000028</v>
      </c>
      <c r="O52" s="20">
        <f t="shared" si="49"/>
        <v>0</v>
      </c>
      <c r="P52" s="21">
        <f t="shared" si="50"/>
        <v>-11.999999999999716</v>
      </c>
      <c r="Q52" s="22">
        <f t="shared" si="51"/>
        <v>0.96000000000000096</v>
      </c>
      <c r="R52" s="573"/>
      <c r="S52" s="49">
        <v>0.23472222222222225</v>
      </c>
      <c r="T52" s="49">
        <v>0.24513888888888891</v>
      </c>
      <c r="U52" s="4">
        <f t="shared" ref="U52:U56" si="58">(S52-T51)*24*60</f>
        <v>7.0000000000000151</v>
      </c>
      <c r="V52" s="24">
        <f t="shared" si="56"/>
        <v>14.999999999999986</v>
      </c>
      <c r="W52" s="4"/>
      <c r="X52" s="4"/>
      <c r="Y52" s="4"/>
      <c r="Z52" s="4"/>
      <c r="AA52" s="575"/>
      <c r="AB52" s="575"/>
      <c r="AC52" s="50"/>
      <c r="AD52" s="27"/>
      <c r="AE52" s="20">
        <f t="shared" si="57"/>
        <v>-119.99999999999727</v>
      </c>
      <c r="AF52" s="22">
        <f t="shared" si="53"/>
        <v>0.96000000000000096</v>
      </c>
      <c r="AG52" s="573"/>
    </row>
    <row r="53" spans="1:33" ht="15.75" customHeight="1">
      <c r="A53" s="580" t="s">
        <v>67</v>
      </c>
      <c r="B53" s="40" t="s">
        <v>104</v>
      </c>
      <c r="C53" s="574" t="s">
        <v>117</v>
      </c>
      <c r="D53" s="574"/>
      <c r="E53" s="39">
        <v>26.78</v>
      </c>
      <c r="F53" s="45">
        <v>1670</v>
      </c>
      <c r="G53" s="4">
        <f t="shared" si="54"/>
        <v>44722.6</v>
      </c>
      <c r="H53" s="48" t="s">
        <v>126</v>
      </c>
      <c r="I53" s="17">
        <v>10</v>
      </c>
      <c r="J53" s="43">
        <v>3000</v>
      </c>
      <c r="K53" s="18">
        <f t="shared" si="46"/>
        <v>300</v>
      </c>
      <c r="L53" s="17">
        <v>10</v>
      </c>
      <c r="M53" s="19">
        <f t="shared" si="55"/>
        <v>2862.8571428571399</v>
      </c>
      <c r="N53" s="18">
        <f t="shared" si="48"/>
        <v>286.28571428571399</v>
      </c>
      <c r="O53" s="20">
        <f t="shared" si="49"/>
        <v>0</v>
      </c>
      <c r="P53" s="21">
        <f t="shared" si="50"/>
        <v>-13.714285714286007</v>
      </c>
      <c r="Q53" s="22">
        <f t="shared" si="51"/>
        <v>0.95428571428571329</v>
      </c>
      <c r="R53" s="573"/>
      <c r="S53" s="49">
        <v>0.25</v>
      </c>
      <c r="T53" s="49">
        <v>0.27430555555555558</v>
      </c>
      <c r="U53" s="4">
        <f t="shared" si="58"/>
        <v>6.9999999999999751</v>
      </c>
      <c r="V53" s="24">
        <f t="shared" si="56"/>
        <v>35.000000000000036</v>
      </c>
      <c r="W53" s="4"/>
      <c r="X53" s="4"/>
      <c r="Y53" s="4"/>
      <c r="Z53" s="4"/>
      <c r="AA53" s="575"/>
      <c r="AB53" s="575"/>
      <c r="AC53" s="50"/>
      <c r="AD53" s="27"/>
      <c r="AE53" s="20">
        <f t="shared" si="57"/>
        <v>-137.14285714286007</v>
      </c>
      <c r="AF53" s="22">
        <f t="shared" si="53"/>
        <v>0.95428571428571329</v>
      </c>
      <c r="AG53" s="573"/>
    </row>
    <row r="54" spans="1:33" ht="15.75" customHeight="1">
      <c r="A54" s="580" t="s">
        <v>67</v>
      </c>
      <c r="B54" s="40" t="s">
        <v>104</v>
      </c>
      <c r="C54" s="574" t="s">
        <v>118</v>
      </c>
      <c r="D54" s="574"/>
      <c r="E54" s="39">
        <v>37.880000000000003</v>
      </c>
      <c r="F54" s="45">
        <v>1038</v>
      </c>
      <c r="G54" s="4">
        <f t="shared" si="54"/>
        <v>39319.440000000002</v>
      </c>
      <c r="H54" s="48" t="s">
        <v>126</v>
      </c>
      <c r="I54" s="17">
        <v>10</v>
      </c>
      <c r="J54" s="43">
        <v>3000</v>
      </c>
      <c r="K54" s="18">
        <f t="shared" si="46"/>
        <v>300</v>
      </c>
      <c r="L54" s="17">
        <v>10</v>
      </c>
      <c r="M54" s="19">
        <f t="shared" si="55"/>
        <v>2965.7142857142844</v>
      </c>
      <c r="N54" s="18">
        <f t="shared" si="48"/>
        <v>296.57142857142844</v>
      </c>
      <c r="O54" s="20">
        <f t="shared" si="49"/>
        <v>0</v>
      </c>
      <c r="P54" s="21">
        <f t="shared" si="50"/>
        <v>-3.4285714285715585</v>
      </c>
      <c r="Q54" s="22">
        <f t="shared" si="51"/>
        <v>0.9885714285714281</v>
      </c>
      <c r="R54" s="573"/>
      <c r="S54" s="49">
        <v>0.27916666666666667</v>
      </c>
      <c r="T54" s="49">
        <v>0.29375000000000001</v>
      </c>
      <c r="U54" s="4">
        <f t="shared" si="58"/>
        <v>6.9999999999999751</v>
      </c>
      <c r="V54" s="24">
        <f t="shared" si="56"/>
        <v>21.000000000000007</v>
      </c>
      <c r="W54" s="4"/>
      <c r="X54" s="4"/>
      <c r="Y54" s="4"/>
      <c r="Z54" s="4"/>
      <c r="AA54" s="575"/>
      <c r="AB54" s="575"/>
      <c r="AC54" s="50"/>
      <c r="AD54" s="27"/>
      <c r="AE54" s="20">
        <f t="shared" si="57"/>
        <v>-34.285714285715585</v>
      </c>
      <c r="AF54" s="22">
        <f t="shared" si="53"/>
        <v>0.9885714285714281</v>
      </c>
      <c r="AG54" s="573"/>
    </row>
    <row r="55" spans="1:33">
      <c r="A55" s="581" t="s">
        <v>67</v>
      </c>
      <c r="B55" s="40" t="s">
        <v>104</v>
      </c>
      <c r="C55" s="574" t="s">
        <v>119</v>
      </c>
      <c r="D55" s="574"/>
      <c r="E55" s="39">
        <v>35.869999999999997</v>
      </c>
      <c r="F55" s="45">
        <v>2696</v>
      </c>
      <c r="G55" s="4">
        <f t="shared" si="54"/>
        <v>96705.51999999999</v>
      </c>
      <c r="H55" s="48" t="s">
        <v>126</v>
      </c>
      <c r="I55" s="17">
        <v>9</v>
      </c>
      <c r="J55" s="43">
        <v>3000</v>
      </c>
      <c r="K55" s="18">
        <f t="shared" si="46"/>
        <v>333.33333333333331</v>
      </c>
      <c r="L55" s="17">
        <v>9</v>
      </c>
      <c r="M55" s="19">
        <f t="shared" si="55"/>
        <v>2888.5714285714262</v>
      </c>
      <c r="N55" s="18">
        <f t="shared" si="48"/>
        <v>320.95238095238068</v>
      </c>
      <c r="O55" s="20">
        <f t="shared" si="49"/>
        <v>0</v>
      </c>
      <c r="P55" s="21">
        <f t="shared" si="50"/>
        <v>-12.380952380952635</v>
      </c>
      <c r="Q55" s="22">
        <f t="shared" si="51"/>
        <v>0.96285714285714208</v>
      </c>
      <c r="R55" s="573"/>
      <c r="S55" s="49">
        <v>0.2986111111111111</v>
      </c>
      <c r="T55" s="49">
        <v>0.33750000000000002</v>
      </c>
      <c r="U55" s="4">
        <f t="shared" si="58"/>
        <v>6.9999999999999751</v>
      </c>
      <c r="V55" s="24">
        <f t="shared" si="56"/>
        <v>56.000000000000043</v>
      </c>
      <c r="W55" s="25"/>
      <c r="X55" s="25"/>
      <c r="Y55" s="25"/>
      <c r="Z55" s="25"/>
      <c r="AA55" s="575"/>
      <c r="AB55" s="575"/>
      <c r="AC55" s="50"/>
      <c r="AD55" s="27"/>
      <c r="AE55" s="20">
        <f t="shared" si="57"/>
        <v>-111.42857142857383</v>
      </c>
      <c r="AF55" s="22">
        <f t="shared" si="53"/>
        <v>0.96285714285714208</v>
      </c>
      <c r="AG55" s="573"/>
    </row>
    <row r="56" spans="1:33" ht="15" customHeight="1">
      <c r="A56" s="581" t="s">
        <v>68</v>
      </c>
      <c r="B56" s="40" t="s">
        <v>104</v>
      </c>
      <c r="C56" s="566" t="s">
        <v>120</v>
      </c>
      <c r="D56" s="567"/>
      <c r="E56" s="39">
        <v>34.35</v>
      </c>
      <c r="F56" s="45">
        <v>1484</v>
      </c>
      <c r="G56" s="4">
        <f t="shared" si="54"/>
        <v>50975.4</v>
      </c>
      <c r="H56" s="48" t="s">
        <v>126</v>
      </c>
      <c r="I56" s="17">
        <v>8</v>
      </c>
      <c r="J56" s="43">
        <v>3000</v>
      </c>
      <c r="K56" s="18">
        <f t="shared" si="46"/>
        <v>375</v>
      </c>
      <c r="L56" s="17">
        <v>8</v>
      </c>
      <c r="M56" s="19">
        <f t="shared" si="55"/>
        <v>2872.258064516132</v>
      </c>
      <c r="N56" s="18">
        <f t="shared" si="48"/>
        <v>359.0322580645165</v>
      </c>
      <c r="O56" s="20">
        <f t="shared" si="49"/>
        <v>0</v>
      </c>
      <c r="P56" s="21">
        <f t="shared" si="50"/>
        <v>-15.967741935483502</v>
      </c>
      <c r="Q56" s="22">
        <f t="shared" si="51"/>
        <v>0.95741935483871066</v>
      </c>
      <c r="R56" s="573"/>
      <c r="S56" s="49">
        <v>0.34166666666666667</v>
      </c>
      <c r="T56" s="49">
        <v>0.36319444444444443</v>
      </c>
      <c r="U56" s="4">
        <f t="shared" si="58"/>
        <v>5.9999999999999787</v>
      </c>
      <c r="V56" s="24">
        <f t="shared" si="56"/>
        <v>30.999999999999972</v>
      </c>
      <c r="W56" s="4"/>
      <c r="X56" s="4"/>
      <c r="Y56" s="34"/>
      <c r="Z56" s="34"/>
      <c r="AA56" s="568"/>
      <c r="AB56" s="569"/>
      <c r="AC56" s="50"/>
      <c r="AD56" s="27"/>
      <c r="AE56" s="20">
        <f t="shared" si="57"/>
        <v>-127.74193548386802</v>
      </c>
      <c r="AF56" s="22">
        <f t="shared" si="53"/>
        <v>0.95741935483871066</v>
      </c>
      <c r="AG56" s="573"/>
    </row>
    <row r="57" spans="1:33">
      <c r="A57" s="581" t="s">
        <v>69</v>
      </c>
      <c r="B57" s="39" t="s">
        <v>70</v>
      </c>
      <c r="C57" s="576"/>
      <c r="D57" s="576"/>
      <c r="E57" s="41"/>
      <c r="F57" s="42"/>
      <c r="G57" s="18"/>
      <c r="H57" s="40"/>
      <c r="I57" s="32">
        <v>9.5</v>
      </c>
      <c r="J57" s="43">
        <v>3000</v>
      </c>
      <c r="K57" s="18">
        <f t="shared" si="46"/>
        <v>315.78947368421052</v>
      </c>
      <c r="L57" s="32">
        <v>9.5</v>
      </c>
      <c r="M57" s="19">
        <f>AVERAGE(M51:M56)</f>
        <v>2897.0506912442393</v>
      </c>
      <c r="N57" s="18">
        <f t="shared" si="48"/>
        <v>304.95270434149887</v>
      </c>
      <c r="O57" s="20">
        <f t="shared" si="49"/>
        <v>0</v>
      </c>
      <c r="P57" s="21">
        <f t="shared" si="50"/>
        <v>-10.836769342711648</v>
      </c>
      <c r="Q57" s="22">
        <f t="shared" si="51"/>
        <v>0.96568356374807973</v>
      </c>
      <c r="R57" s="573"/>
      <c r="S57" s="49"/>
      <c r="T57" s="49"/>
      <c r="U57" s="18"/>
      <c r="V57" s="24"/>
      <c r="W57" s="18"/>
      <c r="X57" s="18"/>
      <c r="Y57" s="33">
        <f>SUM(Y51:Y56)</f>
        <v>0</v>
      </c>
      <c r="Z57" s="33">
        <f>SUM(Z51:Z56)</f>
        <v>0</v>
      </c>
      <c r="AA57" s="572"/>
      <c r="AB57" s="572"/>
      <c r="AC57" s="33">
        <f>SUM(AC51:AC56)</f>
        <v>6</v>
      </c>
      <c r="AD57" s="33">
        <f>SUM(AD51:AD56)</f>
        <v>0</v>
      </c>
      <c r="AE57" s="20">
        <f t="shared" si="57"/>
        <v>-102.94930875576074</v>
      </c>
      <c r="AF57" s="22">
        <f t="shared" si="53"/>
        <v>0.96568356374807973</v>
      </c>
      <c r="AG57" s="573"/>
    </row>
    <row r="58" spans="1:33" ht="15.75" customHeight="1">
      <c r="A58" s="577" t="s">
        <v>71</v>
      </c>
      <c r="B58" s="40" t="s">
        <v>94</v>
      </c>
      <c r="C58" s="574" t="s">
        <v>121</v>
      </c>
      <c r="D58" s="574"/>
      <c r="E58" s="39">
        <v>26.2</v>
      </c>
      <c r="F58" s="40">
        <v>5871</v>
      </c>
      <c r="G58" s="4">
        <f t="shared" ref="G58:G63" si="59">E58*F58</f>
        <v>153820.19999999998</v>
      </c>
      <c r="H58" s="48" t="s">
        <v>126</v>
      </c>
      <c r="I58" s="17">
        <v>18</v>
      </c>
      <c r="J58" s="43">
        <v>2400</v>
      </c>
      <c r="K58" s="18">
        <f t="shared" si="46"/>
        <v>133.33333333333334</v>
      </c>
      <c r="L58" s="17">
        <v>18</v>
      </c>
      <c r="M58" s="19">
        <f t="shared" ref="M58:M63" si="60">F58/V58*60</f>
        <v>2287.4025974025972</v>
      </c>
      <c r="N58" s="18">
        <f t="shared" si="48"/>
        <v>127.07792207792207</v>
      </c>
      <c r="O58" s="20">
        <f t="shared" si="49"/>
        <v>0</v>
      </c>
      <c r="P58" s="21">
        <f t="shared" si="50"/>
        <v>-6.2554112554112749</v>
      </c>
      <c r="Q58" s="22">
        <f t="shared" si="51"/>
        <v>0.95308441558441548</v>
      </c>
      <c r="R58" s="573">
        <f>Q64</f>
        <v>0.95508515884853196</v>
      </c>
      <c r="S58" s="49">
        <v>8.3333333333333329E-2</v>
      </c>
      <c r="T58" s="49">
        <v>0.19027777777777777</v>
      </c>
      <c r="U58" s="30"/>
      <c r="V58" s="24">
        <f t="shared" ref="V58:V63" si="61">(T58-S58)*24*60</f>
        <v>154</v>
      </c>
      <c r="W58" s="25">
        <f>T58</f>
        <v>0.19027777777777777</v>
      </c>
      <c r="X58" s="25">
        <f>S59</f>
        <v>0.20763888888888885</v>
      </c>
      <c r="Y58" s="25"/>
      <c r="Z58" s="25"/>
      <c r="AA58" s="575"/>
      <c r="AB58" s="575"/>
      <c r="AC58" s="50">
        <v>6</v>
      </c>
      <c r="AD58" s="27"/>
      <c r="AE58" s="20">
        <f t="shared" si="57"/>
        <v>-112.59740259740283</v>
      </c>
      <c r="AF58" s="22">
        <f t="shared" si="53"/>
        <v>0.95308441558441548</v>
      </c>
      <c r="AG58" s="573">
        <f>AF64</f>
        <v>0.95508515884853196</v>
      </c>
    </row>
    <row r="59" spans="1:33" ht="15.75" customHeight="1">
      <c r="A59" s="578" t="s">
        <v>71</v>
      </c>
      <c r="B59" s="40" t="s">
        <v>94</v>
      </c>
      <c r="C59" s="574" t="s">
        <v>122</v>
      </c>
      <c r="D59" s="574"/>
      <c r="E59" s="39">
        <v>20.52</v>
      </c>
      <c r="F59" s="40">
        <v>2448</v>
      </c>
      <c r="G59" s="4">
        <f t="shared" si="59"/>
        <v>50232.959999999999</v>
      </c>
      <c r="H59" s="48" t="s">
        <v>126</v>
      </c>
      <c r="I59" s="17">
        <v>18</v>
      </c>
      <c r="J59" s="43">
        <v>2400</v>
      </c>
      <c r="K59" s="18">
        <f t="shared" si="46"/>
        <v>133.33333333333334</v>
      </c>
      <c r="L59" s="17">
        <v>18</v>
      </c>
      <c r="M59" s="19">
        <f t="shared" si="60"/>
        <v>2295.0000000000009</v>
      </c>
      <c r="N59" s="18">
        <f t="shared" si="48"/>
        <v>127.50000000000006</v>
      </c>
      <c r="O59" s="20">
        <f t="shared" si="49"/>
        <v>0</v>
      </c>
      <c r="P59" s="21">
        <f t="shared" si="50"/>
        <v>-5.833333333333286</v>
      </c>
      <c r="Q59" s="22">
        <f t="shared" si="51"/>
        <v>0.95625000000000038</v>
      </c>
      <c r="R59" s="573"/>
      <c r="S59" s="49">
        <v>0.20763888888888885</v>
      </c>
      <c r="T59" s="49">
        <v>0.25208333333333327</v>
      </c>
      <c r="U59" s="4">
        <f t="shared" ref="U59:U63" si="62">(S59-T58)*24*60</f>
        <v>24.99999999999995</v>
      </c>
      <c r="V59" s="24">
        <f t="shared" si="61"/>
        <v>63.999999999999972</v>
      </c>
      <c r="W59" s="25"/>
      <c r="X59" s="25"/>
      <c r="Y59" s="25"/>
      <c r="Z59" s="25"/>
      <c r="AA59" s="575"/>
      <c r="AB59" s="575"/>
      <c r="AC59" s="50"/>
      <c r="AD59" s="27"/>
      <c r="AE59" s="20">
        <f t="shared" si="57"/>
        <v>-104.99999999999909</v>
      </c>
      <c r="AF59" s="22">
        <f t="shared" si="53"/>
        <v>0.95625000000000038</v>
      </c>
      <c r="AG59" s="573"/>
    </row>
    <row r="60" spans="1:33" ht="15.75" customHeight="1">
      <c r="A60" s="578" t="s">
        <v>71</v>
      </c>
      <c r="B60" s="40" t="s">
        <v>94</v>
      </c>
      <c r="C60" s="574" t="s">
        <v>123</v>
      </c>
      <c r="D60" s="574"/>
      <c r="E60" s="39">
        <v>20.21</v>
      </c>
      <c r="F60" s="40">
        <v>2574</v>
      </c>
      <c r="G60" s="4">
        <f t="shared" si="59"/>
        <v>52020.54</v>
      </c>
      <c r="H60" s="48" t="s">
        <v>126</v>
      </c>
      <c r="I60" s="17">
        <v>15</v>
      </c>
      <c r="J60" s="43">
        <v>2400</v>
      </c>
      <c r="K60" s="18">
        <f t="shared" si="46"/>
        <v>160</v>
      </c>
      <c r="L60" s="17">
        <v>15</v>
      </c>
      <c r="M60" s="19">
        <f t="shared" si="60"/>
        <v>2305.0746268656717</v>
      </c>
      <c r="N60" s="18">
        <f t="shared" si="48"/>
        <v>153.67164179104478</v>
      </c>
      <c r="O60" s="20">
        <f t="shared" si="49"/>
        <v>0</v>
      </c>
      <c r="P60" s="21">
        <f t="shared" si="50"/>
        <v>-6.3283582089552226</v>
      </c>
      <c r="Q60" s="22">
        <f t="shared" si="51"/>
        <v>0.96044776119402986</v>
      </c>
      <c r="R60" s="573"/>
      <c r="S60" s="49">
        <v>0.25763888888888881</v>
      </c>
      <c r="T60" s="49">
        <v>0.30416666666666659</v>
      </c>
      <c r="U60" s="4">
        <f t="shared" si="62"/>
        <v>7.9999999999999716</v>
      </c>
      <c r="V60" s="24">
        <f t="shared" si="61"/>
        <v>67</v>
      </c>
      <c r="W60" s="25"/>
      <c r="X60" s="25"/>
      <c r="Y60" s="25"/>
      <c r="Z60" s="25"/>
      <c r="AA60" s="575"/>
      <c r="AB60" s="575"/>
      <c r="AC60" s="50"/>
      <c r="AD60" s="27"/>
      <c r="AE60" s="20">
        <f t="shared" si="57"/>
        <v>-94.925373134328311</v>
      </c>
      <c r="AF60" s="22">
        <f t="shared" si="53"/>
        <v>0.96044776119402986</v>
      </c>
      <c r="AG60" s="573"/>
    </row>
    <row r="61" spans="1:33" ht="15.75" customHeight="1">
      <c r="A61" s="578" t="s">
        <v>72</v>
      </c>
      <c r="B61" s="40" t="s">
        <v>94</v>
      </c>
      <c r="C61" s="574" t="s">
        <v>124</v>
      </c>
      <c r="D61" s="574"/>
      <c r="E61" s="39">
        <v>22.69</v>
      </c>
      <c r="F61" s="40">
        <v>3814</v>
      </c>
      <c r="G61" s="4">
        <f t="shared" si="59"/>
        <v>86539.66</v>
      </c>
      <c r="H61" s="48" t="s">
        <v>126</v>
      </c>
      <c r="I61" s="17">
        <v>15</v>
      </c>
      <c r="J61" s="43">
        <v>2400</v>
      </c>
      <c r="K61" s="18">
        <f t="shared" si="46"/>
        <v>160</v>
      </c>
      <c r="L61" s="17">
        <v>15</v>
      </c>
      <c r="M61" s="19">
        <f t="shared" si="60"/>
        <v>2288.4000000000005</v>
      </c>
      <c r="N61" s="18">
        <f t="shared" si="48"/>
        <v>152.56000000000003</v>
      </c>
      <c r="O61" s="20">
        <f t="shared" si="49"/>
        <v>0</v>
      </c>
      <c r="P61" s="21">
        <f t="shared" si="50"/>
        <v>-7.4399999999999693</v>
      </c>
      <c r="Q61" s="22">
        <f t="shared" si="51"/>
        <v>0.95350000000000024</v>
      </c>
      <c r="R61" s="573"/>
      <c r="S61" s="49">
        <v>0.30902777777777768</v>
      </c>
      <c r="T61" s="49">
        <v>0.3784722222222221</v>
      </c>
      <c r="U61" s="4">
        <f t="shared" si="62"/>
        <v>6.9999999999999751</v>
      </c>
      <c r="V61" s="24">
        <f t="shared" si="61"/>
        <v>99.999999999999972</v>
      </c>
      <c r="W61" s="25"/>
      <c r="X61" s="25"/>
      <c r="Y61" s="25"/>
      <c r="Z61" s="25"/>
      <c r="AA61" s="575"/>
      <c r="AB61" s="575"/>
      <c r="AC61" s="50"/>
      <c r="AD61" s="27"/>
      <c r="AE61" s="20">
        <f t="shared" si="57"/>
        <v>-111.59999999999945</v>
      </c>
      <c r="AF61" s="22">
        <f t="shared" si="53"/>
        <v>0.95350000000000024</v>
      </c>
      <c r="AG61" s="573"/>
    </row>
    <row r="62" spans="1:33" ht="15.75" customHeight="1">
      <c r="A62" s="578" t="s">
        <v>71</v>
      </c>
      <c r="B62" s="40" t="s">
        <v>94</v>
      </c>
      <c r="C62" s="574" t="s">
        <v>125</v>
      </c>
      <c r="D62" s="574"/>
      <c r="E62" s="39">
        <v>19.02</v>
      </c>
      <c r="F62" s="40">
        <v>5000</v>
      </c>
      <c r="G62" s="4">
        <f t="shared" si="59"/>
        <v>95100</v>
      </c>
      <c r="H62" s="48">
        <v>2</v>
      </c>
      <c r="I62" s="17">
        <v>14</v>
      </c>
      <c r="J62" s="43">
        <v>2400</v>
      </c>
      <c r="K62" s="18">
        <f t="shared" si="46"/>
        <v>171.42857142857142</v>
      </c>
      <c r="L62" s="17">
        <v>14</v>
      </c>
      <c r="M62" s="19">
        <f t="shared" si="60"/>
        <v>2290.0763358778627</v>
      </c>
      <c r="N62" s="18">
        <f t="shared" si="48"/>
        <v>163.57688113413306</v>
      </c>
      <c r="O62" s="20">
        <f t="shared" si="49"/>
        <v>0</v>
      </c>
      <c r="P62" s="21">
        <f t="shared" si="50"/>
        <v>-7.851690294438356</v>
      </c>
      <c r="Q62" s="22">
        <f t="shared" si="51"/>
        <v>0.95419847328244289</v>
      </c>
      <c r="R62" s="573"/>
      <c r="S62" s="49">
        <v>0.38194444444444431</v>
      </c>
      <c r="T62" s="49">
        <v>0.47291666666666654</v>
      </c>
      <c r="U62" s="4">
        <f t="shared" si="62"/>
        <v>4.9999999999999822</v>
      </c>
      <c r="V62" s="24">
        <f t="shared" si="61"/>
        <v>131</v>
      </c>
      <c r="W62" s="25">
        <f>T62</f>
        <v>0.47291666666666654</v>
      </c>
      <c r="X62" s="25">
        <f>S63</f>
        <v>0.51458333333333317</v>
      </c>
      <c r="Y62" s="25"/>
      <c r="Z62" s="25"/>
      <c r="AA62" s="575"/>
      <c r="AB62" s="575"/>
      <c r="AC62" s="50"/>
      <c r="AD62" s="27"/>
      <c r="AE62" s="20">
        <f t="shared" si="57"/>
        <v>-109.92366412213732</v>
      </c>
      <c r="AF62" s="22">
        <f t="shared" si="53"/>
        <v>0.95419847328244278</v>
      </c>
      <c r="AG62" s="573"/>
    </row>
    <row r="63" spans="1:33" ht="15.75" customHeight="1">
      <c r="A63" s="578" t="s">
        <v>71</v>
      </c>
      <c r="B63" s="40" t="s">
        <v>94</v>
      </c>
      <c r="C63" s="574" t="s">
        <v>125</v>
      </c>
      <c r="D63" s="574"/>
      <c r="E63" s="39">
        <v>19.02</v>
      </c>
      <c r="F63" s="40">
        <v>3774</v>
      </c>
      <c r="G63" s="4">
        <f t="shared" si="59"/>
        <v>71781.48</v>
      </c>
      <c r="H63" s="48" t="s">
        <v>126</v>
      </c>
      <c r="I63" s="17">
        <v>14</v>
      </c>
      <c r="J63" s="43">
        <v>2400</v>
      </c>
      <c r="K63" s="18">
        <f t="shared" si="46"/>
        <v>171.42857142857142</v>
      </c>
      <c r="L63" s="17">
        <v>14</v>
      </c>
      <c r="M63" s="19">
        <f t="shared" si="60"/>
        <v>2287.2727272727279</v>
      </c>
      <c r="N63" s="18">
        <f t="shared" si="48"/>
        <v>163.37662337662343</v>
      </c>
      <c r="O63" s="20">
        <f t="shared" si="49"/>
        <v>0</v>
      </c>
      <c r="P63" s="21">
        <f t="shared" si="50"/>
        <v>-8.0519480519479885</v>
      </c>
      <c r="Q63" s="22">
        <f t="shared" si="51"/>
        <v>0.95303030303030345</v>
      </c>
      <c r="R63" s="573"/>
      <c r="S63" s="49">
        <v>0.51458333333333317</v>
      </c>
      <c r="T63" s="49">
        <v>0.58333333333333315</v>
      </c>
      <c r="U63" s="4">
        <f t="shared" si="62"/>
        <v>59.999999999999943</v>
      </c>
      <c r="V63" s="24">
        <f t="shared" si="61"/>
        <v>98.999999999999972</v>
      </c>
      <c r="W63" s="25"/>
      <c r="X63" s="25"/>
      <c r="Y63" s="25"/>
      <c r="Z63" s="25"/>
      <c r="AA63" s="575"/>
      <c r="AB63" s="575"/>
      <c r="AC63" s="50"/>
      <c r="AD63" s="27"/>
      <c r="AE63" s="20">
        <f t="shared" si="57"/>
        <v>-112.72727272727207</v>
      </c>
      <c r="AF63" s="22">
        <f t="shared" si="53"/>
        <v>0.95303030303030334</v>
      </c>
      <c r="AG63" s="573"/>
    </row>
    <row r="64" spans="1:33" ht="16.5" customHeight="1">
      <c r="A64" s="579" t="s">
        <v>72</v>
      </c>
      <c r="B64" s="39" t="s">
        <v>46</v>
      </c>
      <c r="C64" s="570"/>
      <c r="D64" s="571"/>
      <c r="E64" s="41"/>
      <c r="F64" s="42"/>
      <c r="G64" s="18"/>
      <c r="H64" s="40"/>
      <c r="I64" s="32">
        <v>15.666666666666666</v>
      </c>
      <c r="J64" s="43">
        <v>2400</v>
      </c>
      <c r="K64" s="18">
        <f t="shared" si="46"/>
        <v>153.19148936170214</v>
      </c>
      <c r="L64" s="32">
        <v>15.666666666666666</v>
      </c>
      <c r="M64" s="19">
        <f>AVERAGE(M58:M63)</f>
        <v>2292.2043812364768</v>
      </c>
      <c r="N64" s="18">
        <f t="shared" si="48"/>
        <v>146.31091795126449</v>
      </c>
      <c r="O64" s="20">
        <f t="shared" si="49"/>
        <v>0</v>
      </c>
      <c r="P64" s="21">
        <f t="shared" si="50"/>
        <v>-6.8805714104376534</v>
      </c>
      <c r="Q64" s="22">
        <f t="shared" si="51"/>
        <v>0.95508515884853196</v>
      </c>
      <c r="R64" s="573"/>
      <c r="S64" s="49"/>
      <c r="T64" s="49"/>
      <c r="U64" s="18"/>
      <c r="V64" s="24"/>
      <c r="W64" s="18"/>
      <c r="X64" s="18"/>
      <c r="Y64" s="33">
        <f>SUM(Y58:Y63)</f>
        <v>0</v>
      </c>
      <c r="Z64" s="33">
        <f>SUM(Z58:Z63)</f>
        <v>0</v>
      </c>
      <c r="AA64" s="572"/>
      <c r="AB64" s="572"/>
      <c r="AC64" s="33">
        <f>SUM(AC58:AC63)</f>
        <v>6</v>
      </c>
      <c r="AD64" s="33">
        <f>SUM(AD58:AD63)</f>
        <v>0</v>
      </c>
      <c r="AE64" s="20">
        <f t="shared" si="57"/>
        <v>-107.79561876352318</v>
      </c>
      <c r="AF64" s="22">
        <f t="shared" si="53"/>
        <v>0.95508515884853196</v>
      </c>
      <c r="AG64" s="573"/>
    </row>
    <row r="65" spans="4:5">
      <c r="D65" s="35"/>
      <c r="E65" s="35"/>
    </row>
  </sheetData>
  <mergeCells count="181">
    <mergeCell ref="C62:D62"/>
    <mergeCell ref="AA62:AB62"/>
    <mergeCell ref="C63:D63"/>
    <mergeCell ref="A58:A64"/>
    <mergeCell ref="C58:D58"/>
    <mergeCell ref="R58:R64"/>
    <mergeCell ref="AA58:AB58"/>
    <mergeCell ref="AA63:AB63"/>
    <mergeCell ref="AG51:AG57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C64:D64"/>
    <mergeCell ref="AA64:AB64"/>
    <mergeCell ref="AG58:AG64"/>
    <mergeCell ref="C59:D59"/>
    <mergeCell ref="AA59:AB59"/>
    <mergeCell ref="C60:D60"/>
    <mergeCell ref="AA60:AB60"/>
    <mergeCell ref="C61:D61"/>
    <mergeCell ref="AA61:AB61"/>
    <mergeCell ref="A51:A57"/>
    <mergeCell ref="C51:D51"/>
    <mergeCell ref="R51:R57"/>
    <mergeCell ref="AA51:AB51"/>
    <mergeCell ref="AA56:AB56"/>
    <mergeCell ref="AA48:AB48"/>
    <mergeCell ref="C49:D49"/>
    <mergeCell ref="AA49:AB49"/>
    <mergeCell ref="A44:A50"/>
    <mergeCell ref="C44:D44"/>
    <mergeCell ref="R44:R50"/>
    <mergeCell ref="AA44:AB44"/>
    <mergeCell ref="C57:D57"/>
    <mergeCell ref="AA57:AB57"/>
    <mergeCell ref="AG44:AG50"/>
    <mergeCell ref="C45:D45"/>
    <mergeCell ref="AA45:AB45"/>
    <mergeCell ref="C46:D46"/>
    <mergeCell ref="AA46:AB46"/>
    <mergeCell ref="AA47:AB47"/>
    <mergeCell ref="C43:D43"/>
    <mergeCell ref="AA43:AB43"/>
    <mergeCell ref="AA42:AB42"/>
    <mergeCell ref="C50:D50"/>
    <mergeCell ref="AA50:AB50"/>
    <mergeCell ref="A32:A38"/>
    <mergeCell ref="C32:D32"/>
    <mergeCell ref="R32:R38"/>
    <mergeCell ref="AA32:AB32"/>
    <mergeCell ref="A39:A43"/>
    <mergeCell ref="C39:D39"/>
    <mergeCell ref="R39:R43"/>
    <mergeCell ref="AA39:AB39"/>
    <mergeCell ref="AG39:AG43"/>
    <mergeCell ref="C40:D40"/>
    <mergeCell ref="AA40:AB40"/>
    <mergeCell ref="C41:D41"/>
    <mergeCell ref="AA41:AB41"/>
    <mergeCell ref="C42:D42"/>
    <mergeCell ref="AG32:AG38"/>
    <mergeCell ref="C33:D33"/>
    <mergeCell ref="AA33:AB33"/>
    <mergeCell ref="C34:D34"/>
    <mergeCell ref="AA34:AB34"/>
    <mergeCell ref="C35:D35"/>
    <mergeCell ref="C38:D38"/>
    <mergeCell ref="AA38:AB38"/>
    <mergeCell ref="AA35:AB35"/>
    <mergeCell ref="C36:D36"/>
    <mergeCell ref="A26:A31"/>
    <mergeCell ref="C26:D26"/>
    <mergeCell ref="R26:R31"/>
    <mergeCell ref="AA26:AB26"/>
    <mergeCell ref="AA22:AB22"/>
    <mergeCell ref="C23:D23"/>
    <mergeCell ref="AA23:AB23"/>
    <mergeCell ref="C24:D24"/>
    <mergeCell ref="AA24:AB24"/>
    <mergeCell ref="C31:D31"/>
    <mergeCell ref="AA31:AB31"/>
    <mergeCell ref="A19:A25"/>
    <mergeCell ref="C19:D19"/>
    <mergeCell ref="R19:R25"/>
    <mergeCell ref="AA19:AB19"/>
    <mergeCell ref="AG26:AG31"/>
    <mergeCell ref="C27:D27"/>
    <mergeCell ref="AA27:AB27"/>
    <mergeCell ref="C28:D28"/>
    <mergeCell ref="AA28:AB28"/>
    <mergeCell ref="C29:D29"/>
    <mergeCell ref="AA29:AB29"/>
    <mergeCell ref="C30:D30"/>
    <mergeCell ref="AA30:AB30"/>
    <mergeCell ref="AG10:AG12"/>
    <mergeCell ref="C11:D11"/>
    <mergeCell ref="AA11:AB11"/>
    <mergeCell ref="AA36:AB36"/>
    <mergeCell ref="C37:D37"/>
    <mergeCell ref="AA37:AB37"/>
    <mergeCell ref="AA17:AB17"/>
    <mergeCell ref="C25:D25"/>
    <mergeCell ref="AA25:AB25"/>
    <mergeCell ref="AG19:AG25"/>
    <mergeCell ref="C20:D20"/>
    <mergeCell ref="AA20:AB20"/>
    <mergeCell ref="C21:D21"/>
    <mergeCell ref="AA21:AB21"/>
    <mergeCell ref="C22:D22"/>
    <mergeCell ref="C18:D18"/>
    <mergeCell ref="AA18:AB18"/>
    <mergeCell ref="AG13:AG18"/>
    <mergeCell ref="C14:D14"/>
    <mergeCell ref="AA14:AB14"/>
    <mergeCell ref="C15:D15"/>
    <mergeCell ref="AA15:AB15"/>
    <mergeCell ref="C16:D16"/>
    <mergeCell ref="AA16:AB16"/>
    <mergeCell ref="C17:D17"/>
    <mergeCell ref="C12:D12"/>
    <mergeCell ref="AA12:AB12"/>
    <mergeCell ref="A5:A9"/>
    <mergeCell ref="C5:D5"/>
    <mergeCell ref="R5:R9"/>
    <mergeCell ref="AA5:AB5"/>
    <mergeCell ref="A10:A12"/>
    <mergeCell ref="C10:D10"/>
    <mergeCell ref="R10:R12"/>
    <mergeCell ref="AA10:AB10"/>
    <mergeCell ref="A13:A18"/>
    <mergeCell ref="C13:D13"/>
    <mergeCell ref="R13:R18"/>
    <mergeCell ref="AA13:AB13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9:D9"/>
    <mergeCell ref="AA9:AB9"/>
    <mergeCell ref="C7:D7"/>
    <mergeCell ref="AA7:AB7"/>
    <mergeCell ref="C8:D8"/>
    <mergeCell ref="AA8:AB8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4:O64 O5:O10 O12:O14 O18:O51">
    <cfRule type="cellIs" dxfId="113" priority="246" operator="greaterThan">
      <formula>0</formula>
    </cfRule>
  </conditionalFormatting>
  <conditionalFormatting sqref="P5:P8 P54:P56 AE54:AE56 P58:P63 P26:P30 P51 P10 P12:P14 P19:P24 P44:P49 P32:P42 AE5:AE51 AE58:AE64">
    <cfRule type="cellIs" dxfId="112" priority="250" operator="lessThan">
      <formula>0</formula>
    </cfRule>
  </conditionalFormatting>
  <conditionalFormatting sqref="AF54:AF56 Q54:Q64 Q5:Q10 Q12:Q14 Q18:Q51 AF5:AF51 AF58:AF64">
    <cfRule type="cellIs" dxfId="111" priority="247" operator="greaterThan">
      <formula>1</formula>
    </cfRule>
    <cfRule type="cellIs" dxfId="110" priority="248" operator="lessThan">
      <formula>0.8</formula>
    </cfRule>
  </conditionalFormatting>
  <conditionalFormatting sqref="AG13:AG14 R13:R14 AG54 R54:R64 AG5:AG10 R5:R10 AG18:AG51 R18:R51">
    <cfRule type="cellIs" dxfId="109" priority="252" operator="lessThan">
      <formula>0.8</formula>
    </cfRule>
  </conditionalFormatting>
  <conditionalFormatting sqref="AG39">
    <cfRule type="cellIs" dxfId="108" priority="254" operator="lessThan">
      <formula>0.8</formula>
    </cfRule>
  </conditionalFormatting>
  <conditionalFormatting sqref="AG19:AG24">
    <cfRule type="cellIs" dxfId="107" priority="251" operator="lessThan">
      <formula>0.8</formula>
    </cfRule>
  </conditionalFormatting>
  <conditionalFormatting sqref="AG26">
    <cfRule type="cellIs" dxfId="106" priority="253" operator="lessThan">
      <formula>0.8</formula>
    </cfRule>
  </conditionalFormatting>
  <conditionalFormatting sqref="AG32:AG37">
    <cfRule type="cellIs" dxfId="105" priority="249" operator="lessThan">
      <formula>0.8</formula>
    </cfRule>
  </conditionalFormatting>
  <conditionalFormatting sqref="AE57">
    <cfRule type="cellIs" dxfId="104" priority="245" operator="lessThan">
      <formula>0</formula>
    </cfRule>
  </conditionalFormatting>
  <conditionalFormatting sqref="AF57">
    <cfRule type="cellIs" dxfId="103" priority="243" operator="greaterThan">
      <formula>1</formula>
    </cfRule>
    <cfRule type="cellIs" dxfId="102" priority="244" operator="lessThan">
      <formula>0.8</formula>
    </cfRule>
  </conditionalFormatting>
  <conditionalFormatting sqref="O15:O16">
    <cfRule type="cellIs" dxfId="101" priority="238" operator="greaterThan">
      <formula>0</formula>
    </cfRule>
  </conditionalFormatting>
  <conditionalFormatting sqref="P15:P16">
    <cfRule type="cellIs" dxfId="100" priority="241" operator="lessThan">
      <formula>0</formula>
    </cfRule>
  </conditionalFormatting>
  <conditionalFormatting sqref="Q15:Q16">
    <cfRule type="cellIs" dxfId="99" priority="239" operator="greaterThan">
      <formula>1</formula>
    </cfRule>
    <cfRule type="cellIs" dxfId="98" priority="240" operator="lessThan">
      <formula>0.8</formula>
    </cfRule>
  </conditionalFormatting>
  <conditionalFormatting sqref="R15:R16 AG15:AG16">
    <cfRule type="cellIs" dxfId="97" priority="242" operator="lessThan">
      <formula>0.8</formula>
    </cfRule>
  </conditionalFormatting>
  <conditionalFormatting sqref="O11">
    <cfRule type="cellIs" dxfId="96" priority="234" operator="greaterThan">
      <formula>0</formula>
    </cfRule>
  </conditionalFormatting>
  <conditionalFormatting sqref="P11">
    <cfRule type="cellIs" dxfId="95" priority="237" operator="lessThan">
      <formula>0</formula>
    </cfRule>
  </conditionalFormatting>
  <conditionalFormatting sqref="Q11">
    <cfRule type="cellIs" dxfId="94" priority="235" operator="greaterThan">
      <formula>1</formula>
    </cfRule>
    <cfRule type="cellIs" dxfId="93" priority="236" operator="lessThan">
      <formula>0.8</formula>
    </cfRule>
  </conditionalFormatting>
  <conditionalFormatting sqref="O53">
    <cfRule type="cellIs" dxfId="92" priority="216" operator="greaterThan">
      <formula>0</formula>
    </cfRule>
  </conditionalFormatting>
  <conditionalFormatting sqref="P53 AE53">
    <cfRule type="cellIs" dxfId="91" priority="219" operator="lessThan">
      <formula>0</formula>
    </cfRule>
  </conditionalFormatting>
  <conditionalFormatting sqref="Q53 AF53">
    <cfRule type="cellIs" dxfId="90" priority="217" operator="greaterThan">
      <formula>1</formula>
    </cfRule>
    <cfRule type="cellIs" dxfId="89" priority="218" operator="lessThan">
      <formula>0.8</formula>
    </cfRule>
  </conditionalFormatting>
  <conditionalFormatting sqref="R53 AG53">
    <cfRule type="cellIs" dxfId="88" priority="220" operator="lessThan">
      <formula>0.8</formula>
    </cfRule>
  </conditionalFormatting>
  <conditionalFormatting sqref="O17">
    <cfRule type="cellIs" dxfId="87" priority="184" operator="greaterThan">
      <formula>0</formula>
    </cfRule>
  </conditionalFormatting>
  <conditionalFormatting sqref="P17">
    <cfRule type="cellIs" dxfId="86" priority="187" operator="lessThan">
      <formula>0</formula>
    </cfRule>
  </conditionalFormatting>
  <conditionalFormatting sqref="Q17">
    <cfRule type="cellIs" dxfId="85" priority="185" operator="greaterThan">
      <formula>1</formula>
    </cfRule>
    <cfRule type="cellIs" dxfId="84" priority="186" operator="lessThan">
      <formula>0.8</formula>
    </cfRule>
  </conditionalFormatting>
  <conditionalFormatting sqref="R17 AG17">
    <cfRule type="cellIs" dxfId="83" priority="188" operator="lessThan">
      <formula>0.8</formula>
    </cfRule>
  </conditionalFormatting>
  <conditionalFormatting sqref="O52">
    <cfRule type="cellIs" dxfId="82" priority="115" operator="greaterThan">
      <formula>0</formula>
    </cfRule>
  </conditionalFormatting>
  <conditionalFormatting sqref="P52 AE52">
    <cfRule type="cellIs" dxfId="81" priority="118" operator="lessThan">
      <formula>0</formula>
    </cfRule>
  </conditionalFormatting>
  <conditionalFormatting sqref="Q52 AF52">
    <cfRule type="cellIs" dxfId="80" priority="116" operator="greaterThan">
      <formula>1</formula>
    </cfRule>
    <cfRule type="cellIs" dxfId="79" priority="117" operator="lessThan">
      <formula>0.8</formula>
    </cfRule>
  </conditionalFormatting>
  <conditionalFormatting sqref="R52 AG52">
    <cfRule type="cellIs" dxfId="78" priority="119" operator="lessThan">
      <formula>0.8</formula>
    </cfRule>
  </conditionalFormatting>
  <conditionalFormatting sqref="P9">
    <cfRule type="cellIs" dxfId="77" priority="101" operator="lessThan">
      <formula>0</formula>
    </cfRule>
  </conditionalFormatting>
  <conditionalFormatting sqref="P18">
    <cfRule type="cellIs" dxfId="76" priority="99" operator="lessThan">
      <formula>0</formula>
    </cfRule>
  </conditionalFormatting>
  <conditionalFormatting sqref="P25">
    <cfRule type="cellIs" dxfId="75" priority="98" operator="lessThan">
      <formula>0</formula>
    </cfRule>
  </conditionalFormatting>
  <conditionalFormatting sqref="P31">
    <cfRule type="cellIs" dxfId="74" priority="97" operator="lessThan">
      <formula>0</formula>
    </cfRule>
  </conditionalFormatting>
  <conditionalFormatting sqref="P43">
    <cfRule type="cellIs" dxfId="73" priority="96" operator="lessThan">
      <formula>0</formula>
    </cfRule>
  </conditionalFormatting>
  <conditionalFormatting sqref="P50">
    <cfRule type="cellIs" dxfId="72" priority="95" operator="lessThan">
      <formula>0</formula>
    </cfRule>
  </conditionalFormatting>
  <conditionalFormatting sqref="P57">
    <cfRule type="cellIs" dxfId="71" priority="94" operator="lessThan">
      <formula>0</formula>
    </cfRule>
  </conditionalFormatting>
  <conditionalFormatting sqref="P64">
    <cfRule type="cellIs" dxfId="70" priority="93" operator="lessThan">
      <formula>0</formula>
    </cfRule>
  </conditionalFormatting>
  <dataValidations count="1">
    <dataValidation type="list" allowBlank="1" showInputMessage="1" showErrorMessage="1" sqref="AB9 AA5:AB8 AB55:AB56 AA9:AA56 AB11:AB51 AA57:AB6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086F35-366E-40F4-A458-8DCFC3D6C9A9}"/>
</file>

<file path=customXml/itemProps2.xml><?xml version="1.0" encoding="utf-8"?>
<ds:datastoreItem xmlns:ds="http://schemas.openxmlformats.org/officeDocument/2006/customXml" ds:itemID="{9B00293A-DD60-4B84-9A67-9BE2AD3891F6}"/>
</file>

<file path=customXml/itemProps3.xml><?xml version="1.0" encoding="utf-8"?>
<ds:datastoreItem xmlns:ds="http://schemas.openxmlformats.org/officeDocument/2006/customXml" ds:itemID="{E0D83745-9612-44DC-9438-45CFC35F80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0531</vt:lpstr>
      <vt:lpstr>0531 4度C</vt:lpstr>
      <vt:lpstr>0530</vt:lpstr>
      <vt:lpstr>0530 4度C</vt:lpstr>
      <vt:lpstr>0529</vt:lpstr>
      <vt:lpstr>0529 4度C</vt:lpstr>
      <vt:lpstr>0528</vt:lpstr>
      <vt:lpstr>0528 4度C</vt:lpstr>
      <vt:lpstr>0527</vt:lpstr>
      <vt:lpstr>0527 4度C</vt:lpstr>
      <vt:lpstr>0526</vt:lpstr>
      <vt:lpstr>0526 4度C</vt:lpstr>
      <vt:lpstr>0525</vt:lpstr>
      <vt:lpstr>0525 4度C</vt:lpstr>
      <vt:lpstr>0524</vt:lpstr>
      <vt:lpstr>0524 4度C</vt:lpstr>
      <vt:lpstr>0523</vt:lpstr>
      <vt:lpstr>0523 4度C</vt:lpstr>
      <vt:lpstr>0522</vt:lpstr>
      <vt:lpstr>0522 4度C</vt:lpstr>
      <vt:lpstr>0521</vt:lpstr>
      <vt:lpstr>0521 4度C</vt:lpstr>
      <vt:lpstr>0520</vt:lpstr>
      <vt:lpstr>0520 4度C</vt:lpstr>
      <vt:lpstr>0519</vt:lpstr>
      <vt:lpstr>0519 4度C</vt:lpstr>
      <vt:lpstr>0518</vt:lpstr>
      <vt:lpstr>0518 4度C</vt:lpstr>
      <vt:lpstr>0517</vt:lpstr>
      <vt:lpstr>0517 4度C</vt:lpstr>
      <vt:lpstr>0516</vt:lpstr>
      <vt:lpstr>0516 4度C</vt:lpstr>
      <vt:lpstr>0515</vt:lpstr>
      <vt:lpstr>0515 4度C</vt:lpstr>
      <vt:lpstr>0514</vt:lpstr>
      <vt:lpstr>0514 4度C</vt:lpstr>
      <vt:lpstr>0513</vt:lpstr>
      <vt:lpstr>0513 4度C</vt:lpstr>
      <vt:lpstr>0512</vt:lpstr>
      <vt:lpstr>0512 4度C</vt:lpstr>
      <vt:lpstr>0511</vt:lpstr>
      <vt:lpstr>0511 4度C</vt:lpstr>
      <vt:lpstr>0510</vt:lpstr>
      <vt:lpstr>0510 4度C</vt:lpstr>
      <vt:lpstr>0509</vt:lpstr>
      <vt:lpstr>0509 4度C</vt:lpstr>
      <vt:lpstr>0508</vt:lpstr>
      <vt:lpstr>0508 4度C</vt:lpstr>
      <vt:lpstr>0507</vt:lpstr>
      <vt:lpstr>0507 4度C</vt:lpstr>
      <vt:lpstr>0506</vt:lpstr>
      <vt:lpstr>0506 4度C</vt:lpstr>
      <vt:lpstr>0505</vt:lpstr>
      <vt:lpstr>0505 4度C</vt:lpstr>
      <vt:lpstr>0504</vt:lpstr>
      <vt:lpstr>0504 4度C</vt:lpstr>
      <vt:lpstr>0503</vt:lpstr>
      <vt:lpstr>0503 4度C</vt:lpstr>
      <vt:lpstr>0502</vt:lpstr>
      <vt:lpstr>0502 4度C</vt:lpstr>
      <vt:lpstr>0501</vt:lpstr>
      <vt:lpstr>0501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新豐生管02</dc:creator>
  <cp:lastModifiedBy>新豐生管03</cp:lastModifiedBy>
  <dcterms:created xsi:type="dcterms:W3CDTF">2026-05-02T01:50:16Z</dcterms:created>
  <dcterms:modified xsi:type="dcterms:W3CDTF">2026-06-01T02:49:53Z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